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icha\Dropbox\Bio Incubator\Essays\Biotech investing 101\"/>
    </mc:Choice>
  </mc:AlternateContent>
  <xr:revisionPtr revIDLastSave="0" documentId="13_ncr:1_{D37C8EF1-FD98-43B8-9B35-955C466F448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H18" i="1" l="1"/>
  <c r="C139" i="1"/>
  <c r="C140" i="1" s="1"/>
  <c r="C141" i="1" s="1"/>
  <c r="C142" i="1" s="1"/>
  <c r="C143" i="1" s="1"/>
  <c r="C144" i="1" s="1"/>
  <c r="G137" i="1"/>
  <c r="F137" i="1" s="1"/>
  <c r="E137" i="1" s="1"/>
  <c r="D137" i="1" s="1"/>
  <c r="I137" i="1"/>
  <c r="N50" i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C126" i="1"/>
  <c r="C127" i="1" s="1"/>
  <c r="C128" i="1" s="1"/>
  <c r="Q38" i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G121" i="1"/>
  <c r="F121" i="1" s="1"/>
  <c r="E121" i="1" s="1"/>
  <c r="D121" i="1" s="1"/>
  <c r="I121" i="1"/>
  <c r="C109" i="1"/>
  <c r="C110" i="1" s="1"/>
  <c r="C111" i="1" s="1"/>
  <c r="C112" i="1" s="1"/>
  <c r="C113" i="1" s="1"/>
  <c r="C114" i="1" s="1"/>
  <c r="G107" i="1"/>
  <c r="F107" i="1"/>
  <c r="E107" i="1"/>
  <c r="D107" i="1"/>
  <c r="Q24" i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N28" i="1"/>
  <c r="O28" i="1" s="1"/>
  <c r="N29" i="1"/>
  <c r="O29" i="1" s="1"/>
  <c r="M30" i="1"/>
  <c r="M92" i="1"/>
  <c r="L86" i="1"/>
  <c r="N86" i="1"/>
  <c r="O86" i="1" s="1"/>
  <c r="P86" i="1" s="1"/>
  <c r="Q86" i="1" s="1"/>
  <c r="R86" i="1" s="1"/>
  <c r="S86" i="1" s="1"/>
  <c r="T86" i="1" s="1"/>
  <c r="U86" i="1" s="1"/>
  <c r="V86" i="1" s="1"/>
  <c r="W86" i="1" s="1"/>
  <c r="X86" i="1" s="1"/>
  <c r="Y86" i="1" s="1"/>
  <c r="Z86" i="1" s="1"/>
  <c r="AA86" i="1" s="1"/>
  <c r="O85" i="1"/>
  <c r="P85" i="1" s="1"/>
  <c r="Q85" i="1" s="1"/>
  <c r="R85" i="1" s="1"/>
  <c r="S85" i="1" s="1"/>
  <c r="T85" i="1" s="1"/>
  <c r="U85" i="1" s="1"/>
  <c r="V85" i="1" s="1"/>
  <c r="W85" i="1" s="1"/>
  <c r="X85" i="1" s="1"/>
  <c r="Y85" i="1" s="1"/>
  <c r="Z85" i="1" s="1"/>
  <c r="AA85" i="1" s="1"/>
  <c r="L85" i="1"/>
  <c r="T58" i="1"/>
  <c r="U58" i="1" s="1"/>
  <c r="V58" i="1" s="1"/>
  <c r="W58" i="1" s="1"/>
  <c r="X58" i="1" s="1"/>
  <c r="Y58" i="1" s="1"/>
  <c r="Z58" i="1" s="1"/>
  <c r="AA58" i="1" s="1"/>
  <c r="N69" i="1"/>
  <c r="O69" i="1" s="1"/>
  <c r="P69" i="1" s="1"/>
  <c r="Q69" i="1" s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H61" i="1"/>
  <c r="H73" i="1" s="1"/>
  <c r="H75" i="1" s="1"/>
  <c r="I61" i="1"/>
  <c r="I73" i="1" s="1"/>
  <c r="I75" i="1" s="1"/>
  <c r="J61" i="1"/>
  <c r="J63" i="1" s="1"/>
  <c r="J64" i="1" s="1"/>
  <c r="K61" i="1"/>
  <c r="K63" i="1" s="1"/>
  <c r="K64" i="1" s="1"/>
  <c r="L61" i="1"/>
  <c r="G61" i="1"/>
  <c r="G73" i="1" s="1"/>
  <c r="G75" i="1" s="1"/>
  <c r="N48" i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N59" i="1"/>
  <c r="O59" i="1" s="1"/>
  <c r="P59" i="1" s="1"/>
  <c r="Q59" i="1" s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G39" i="1"/>
  <c r="G43" i="1" s="1"/>
  <c r="G35" i="1"/>
  <c r="H35" i="1" s="1"/>
  <c r="G33" i="1"/>
  <c r="I14" i="1"/>
  <c r="J14" i="1"/>
  <c r="K14" i="1"/>
  <c r="L14" i="1"/>
  <c r="M14" i="1" s="1"/>
  <c r="H14" i="1"/>
  <c r="H21" i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N47" i="1"/>
  <c r="O47" i="1" s="1"/>
  <c r="L70" i="1"/>
  <c r="N8" i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A92" i="1" s="1"/>
  <c r="H20" i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H16" i="1"/>
  <c r="H15" i="1" s="1"/>
  <c r="L66" i="1"/>
  <c r="R92" i="1" l="1"/>
  <c r="N92" i="1"/>
  <c r="V92" i="1"/>
  <c r="Z92" i="1"/>
  <c r="N38" i="1"/>
  <c r="C124" i="1"/>
  <c r="C123" i="1" s="1"/>
  <c r="C122" i="1" s="1"/>
  <c r="Y92" i="1"/>
  <c r="U92" i="1"/>
  <c r="Q92" i="1"/>
  <c r="N30" i="1"/>
  <c r="O30" i="1" s="1"/>
  <c r="K73" i="1"/>
  <c r="K75" i="1" s="1"/>
  <c r="X92" i="1"/>
  <c r="T92" i="1"/>
  <c r="P92" i="1"/>
  <c r="J73" i="1"/>
  <c r="J75" i="1" s="1"/>
  <c r="W92" i="1"/>
  <c r="S92" i="1"/>
  <c r="O92" i="1"/>
  <c r="G63" i="1"/>
  <c r="G64" i="1" s="1"/>
  <c r="L73" i="1"/>
  <c r="L75" i="1" s="1"/>
  <c r="I63" i="1"/>
  <c r="I64" i="1" s="1"/>
  <c r="L63" i="1"/>
  <c r="L64" i="1" s="1"/>
  <c r="H63" i="1"/>
  <c r="H64" i="1" s="1"/>
  <c r="I35" i="1"/>
  <c r="N14" i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M13" i="1"/>
  <c r="G36" i="1"/>
  <c r="N46" i="1"/>
  <c r="P47" i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I18" i="1"/>
  <c r="H19" i="1"/>
  <c r="H23" i="1" s="1"/>
  <c r="H42" i="1" s="1"/>
  <c r="I16" i="1"/>
  <c r="G19" i="1"/>
  <c r="O46" i="1" l="1"/>
  <c r="N13" i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H34" i="1"/>
  <c r="G23" i="1"/>
  <c r="G42" i="1" s="1"/>
  <c r="G44" i="1" s="1"/>
  <c r="G34" i="1"/>
  <c r="G37" i="1" s="1"/>
  <c r="J35" i="1"/>
  <c r="K35" i="1" s="1"/>
  <c r="L35" i="1" s="1"/>
  <c r="M35" i="1" s="1"/>
  <c r="I15" i="1"/>
  <c r="J16" i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J18" i="1"/>
  <c r="P46" i="1" l="1"/>
  <c r="Q46" i="1" s="1"/>
  <c r="H33" i="1"/>
  <c r="N35" i="1"/>
  <c r="J15" i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I19" i="1"/>
  <c r="K18" i="1"/>
  <c r="H36" i="1" l="1"/>
  <c r="H37" i="1" s="1"/>
  <c r="I23" i="1"/>
  <c r="I42" i="1" s="1"/>
  <c r="I34" i="1"/>
  <c r="O35" i="1"/>
  <c r="R46" i="1"/>
  <c r="K19" i="1"/>
  <c r="L18" i="1"/>
  <c r="J19" i="1"/>
  <c r="I33" i="1" l="1"/>
  <c r="I36" i="1" s="1"/>
  <c r="K23" i="1"/>
  <c r="K42" i="1" s="1"/>
  <c r="K34" i="1"/>
  <c r="J23" i="1"/>
  <c r="J42" i="1" s="1"/>
  <c r="J34" i="1"/>
  <c r="P35" i="1"/>
  <c r="S46" i="1"/>
  <c r="M18" i="1"/>
  <c r="L19" i="1"/>
  <c r="I37" i="1" l="1"/>
  <c r="J33" i="1" s="1"/>
  <c r="J36" i="1" s="1"/>
  <c r="L23" i="1"/>
  <c r="L42" i="1" s="1"/>
  <c r="L34" i="1"/>
  <c r="Q35" i="1"/>
  <c r="T46" i="1"/>
  <c r="M19" i="1"/>
  <c r="N18" i="1"/>
  <c r="J37" i="1" l="1"/>
  <c r="M23" i="1"/>
  <c r="M34" i="1"/>
  <c r="R35" i="1"/>
  <c r="U46" i="1"/>
  <c r="N19" i="1"/>
  <c r="O18" i="1"/>
  <c r="K33" i="1" l="1"/>
  <c r="K36" i="1" s="1"/>
  <c r="K37" i="1" s="1"/>
  <c r="N23" i="1"/>
  <c r="N34" i="1"/>
  <c r="S35" i="1"/>
  <c r="V46" i="1"/>
  <c r="P18" i="1"/>
  <c r="O19" i="1"/>
  <c r="L33" i="1" l="1"/>
  <c r="L36" i="1" s="1"/>
  <c r="L37" i="1" s="1"/>
  <c r="O23" i="1"/>
  <c r="O34" i="1"/>
  <c r="T35" i="1"/>
  <c r="W46" i="1"/>
  <c r="P19" i="1"/>
  <c r="Q18" i="1"/>
  <c r="M33" i="1" l="1"/>
  <c r="P23" i="1"/>
  <c r="P42" i="1" s="1"/>
  <c r="P34" i="1"/>
  <c r="U35" i="1"/>
  <c r="X46" i="1"/>
  <c r="R18" i="1"/>
  <c r="Q19" i="1"/>
  <c r="M36" i="1" l="1"/>
  <c r="M37" i="1" s="1"/>
  <c r="N33" i="1" s="1"/>
  <c r="Q23" i="1"/>
  <c r="Q42" i="1" s="1"/>
  <c r="Q34" i="1"/>
  <c r="V35" i="1"/>
  <c r="Y46" i="1"/>
  <c r="R19" i="1"/>
  <c r="S18" i="1"/>
  <c r="M31" i="1" l="1"/>
  <c r="N36" i="1"/>
  <c r="N37" i="1" s="1"/>
  <c r="O33" i="1" s="1"/>
  <c r="R23" i="1"/>
  <c r="R42" i="1" s="1"/>
  <c r="R34" i="1"/>
  <c r="W35" i="1"/>
  <c r="Z46" i="1"/>
  <c r="T18" i="1"/>
  <c r="S19" i="1"/>
  <c r="N31" i="1" l="1"/>
  <c r="M24" i="1" s="1"/>
  <c r="M42" i="1" s="1"/>
  <c r="O36" i="1"/>
  <c r="O37" i="1" s="1"/>
  <c r="P33" i="1" s="1"/>
  <c r="P36" i="1" s="1"/>
  <c r="P37" i="1" s="1"/>
  <c r="S23" i="1"/>
  <c r="S42" i="1" s="1"/>
  <c r="S34" i="1"/>
  <c r="X35" i="1"/>
  <c r="AA46" i="1"/>
  <c r="U18" i="1"/>
  <c r="T19" i="1"/>
  <c r="O31" i="1" l="1"/>
  <c r="N24" i="1" s="1"/>
  <c r="Q33" i="1"/>
  <c r="Q36" i="1" s="1"/>
  <c r="Q37" i="1" s="1"/>
  <c r="T23" i="1"/>
  <c r="T42" i="1" s="1"/>
  <c r="T34" i="1"/>
  <c r="Y35" i="1"/>
  <c r="U19" i="1"/>
  <c r="V18" i="1"/>
  <c r="N42" i="1" l="1"/>
  <c r="O24" i="1"/>
  <c r="O42" i="1" s="1"/>
  <c r="R33" i="1"/>
  <c r="R36" i="1" s="1"/>
  <c r="R37" i="1" s="1"/>
  <c r="U23" i="1"/>
  <c r="U42" i="1" s="1"/>
  <c r="U34" i="1"/>
  <c r="Z35" i="1"/>
  <c r="V19" i="1"/>
  <c r="W18" i="1"/>
  <c r="S33" i="1" l="1"/>
  <c r="S36" i="1" s="1"/>
  <c r="S37" i="1" s="1"/>
  <c r="V23" i="1"/>
  <c r="V42" i="1" s="1"/>
  <c r="V34" i="1"/>
  <c r="AA35" i="1"/>
  <c r="X18" i="1"/>
  <c r="W19" i="1"/>
  <c r="T33" i="1" l="1"/>
  <c r="T36" i="1" s="1"/>
  <c r="T37" i="1" s="1"/>
  <c r="W23" i="1"/>
  <c r="W42" i="1" s="1"/>
  <c r="W34" i="1"/>
  <c r="X19" i="1"/>
  <c r="Y18" i="1"/>
  <c r="U33" i="1" l="1"/>
  <c r="U36" i="1" s="1"/>
  <c r="U37" i="1" s="1"/>
  <c r="X23" i="1"/>
  <c r="X42" i="1" s="1"/>
  <c r="X34" i="1"/>
  <c r="Z18" i="1"/>
  <c r="Y19" i="1"/>
  <c r="V33" i="1" l="1"/>
  <c r="V36" i="1" s="1"/>
  <c r="V37" i="1" s="1"/>
  <c r="Y23" i="1"/>
  <c r="Y42" i="1" s="1"/>
  <c r="Y34" i="1"/>
  <c r="Z19" i="1"/>
  <c r="AA18" i="1"/>
  <c r="AA19" i="1" s="1"/>
  <c r="W33" i="1" l="1"/>
  <c r="W36" i="1" s="1"/>
  <c r="W37" i="1" s="1"/>
  <c r="AA23" i="1"/>
  <c r="AA42" i="1" s="1"/>
  <c r="AA34" i="1"/>
  <c r="Z23" i="1"/>
  <c r="Z42" i="1" s="1"/>
  <c r="Z34" i="1"/>
  <c r="X33" i="1" l="1"/>
  <c r="X36" i="1" s="1"/>
  <c r="X37" i="1" s="1"/>
  <c r="Y33" i="1" l="1"/>
  <c r="Y36" i="1" s="1"/>
  <c r="Y37" i="1" s="1"/>
  <c r="Z33" i="1" l="1"/>
  <c r="Z36" i="1" s="1"/>
  <c r="Z37" i="1" s="1"/>
  <c r="AA33" i="1" l="1"/>
  <c r="AA36" i="1" s="1"/>
  <c r="AA37" i="1" s="1"/>
  <c r="G40" i="1" l="1"/>
  <c r="H39" i="1" s="1"/>
  <c r="H43" i="1" s="1"/>
  <c r="H44" i="1" s="1"/>
  <c r="H40" i="1" l="1"/>
  <c r="I39" i="1" s="1"/>
  <c r="I43" i="1" s="1"/>
  <c r="I44" i="1" s="1"/>
  <c r="I40" i="1" l="1"/>
  <c r="J39" i="1" s="1"/>
  <c r="J43" i="1" s="1"/>
  <c r="J44" i="1" s="1"/>
  <c r="J40" i="1" l="1"/>
  <c r="K39" i="1" s="1"/>
  <c r="K43" i="1" s="1"/>
  <c r="K44" i="1" s="1"/>
  <c r="K40" i="1" l="1"/>
  <c r="L39" i="1" s="1"/>
  <c r="L43" i="1" s="1"/>
  <c r="L44" i="1" s="1"/>
  <c r="L40" i="1" l="1"/>
  <c r="M39" i="1" s="1"/>
  <c r="M43" i="1" s="1"/>
  <c r="M44" i="1" s="1"/>
  <c r="M54" i="1" s="1"/>
  <c r="M71" i="1" l="1"/>
  <c r="M67" i="1"/>
  <c r="M40" i="1"/>
  <c r="M57" i="1"/>
  <c r="M60" i="1"/>
  <c r="M68" i="1"/>
  <c r="M87" i="1" l="1"/>
  <c r="M61" i="1"/>
  <c r="M73" i="1" s="1"/>
  <c r="M75" i="1" s="1"/>
  <c r="M76" i="1" s="1"/>
  <c r="M63" i="1" l="1"/>
  <c r="M64" i="1" s="1"/>
  <c r="M81" i="1"/>
  <c r="M83" i="1" s="1"/>
  <c r="M82" i="1" s="1"/>
  <c r="M84" i="1" s="1"/>
  <c r="M89" i="1" s="1"/>
  <c r="M93" i="1" s="1"/>
  <c r="O38" i="1"/>
  <c r="P38" i="1" s="1"/>
  <c r="N39" i="1"/>
  <c r="N40" i="1" l="1"/>
  <c r="O39" i="1" s="1"/>
  <c r="O40" i="1" s="1"/>
  <c r="P39" i="1" s="1"/>
  <c r="N43" i="1"/>
  <c r="N44" i="1" s="1"/>
  <c r="N54" i="1" s="1"/>
  <c r="P43" i="1" l="1"/>
  <c r="P44" i="1" s="1"/>
  <c r="P54" i="1" s="1"/>
  <c r="N67" i="1"/>
  <c r="N55" i="1"/>
  <c r="N87" i="1"/>
  <c r="N68" i="1"/>
  <c r="N60" i="1"/>
  <c r="N57" i="1"/>
  <c r="N71" i="1"/>
  <c r="O43" i="1"/>
  <c r="O44" i="1" s="1"/>
  <c r="O54" i="1" s="1"/>
  <c r="P40" i="1"/>
  <c r="Q39" i="1" s="1"/>
  <c r="Q43" i="1" s="1"/>
  <c r="Q44" i="1" s="1"/>
  <c r="Q54" i="1" s="1"/>
  <c r="N61" i="1" l="1"/>
  <c r="N73" i="1" s="1"/>
  <c r="N75" i="1" s="1"/>
  <c r="N81" i="1" s="1"/>
  <c r="Q40" i="1"/>
  <c r="O87" i="1"/>
  <c r="O67" i="1"/>
  <c r="O71" i="1"/>
  <c r="O68" i="1"/>
  <c r="O57" i="1"/>
  <c r="O55" i="1"/>
  <c r="O60" i="1"/>
  <c r="Q68" i="1"/>
  <c r="Q57" i="1"/>
  <c r="Q55" i="1"/>
  <c r="Q60" i="1"/>
  <c r="Q87" i="1"/>
  <c r="P87" i="1"/>
  <c r="P55" i="1"/>
  <c r="P67" i="1"/>
  <c r="Q67" i="1" s="1"/>
  <c r="P60" i="1"/>
  <c r="P71" i="1"/>
  <c r="Q71" i="1" s="1"/>
  <c r="P68" i="1"/>
  <c r="P57" i="1"/>
  <c r="N63" i="1" l="1"/>
  <c r="N64" i="1" s="1"/>
  <c r="O61" i="1"/>
  <c r="O63" i="1" s="1"/>
  <c r="O64" i="1" s="1"/>
  <c r="N76" i="1"/>
  <c r="Q70" i="1"/>
  <c r="R71" i="1"/>
  <c r="P61" i="1"/>
  <c r="Q66" i="1"/>
  <c r="R67" i="1"/>
  <c r="N83" i="1"/>
  <c r="N82" i="1" s="1"/>
  <c r="N84" i="1" s="1"/>
  <c r="N89" i="1" s="1"/>
  <c r="N93" i="1" s="1"/>
  <c r="Q61" i="1"/>
  <c r="O73" i="1" l="1"/>
  <c r="O75" i="1" s="1"/>
  <c r="O81" i="1" s="1"/>
  <c r="Q73" i="1"/>
  <c r="Q75" i="1" s="1"/>
  <c r="Q63" i="1"/>
  <c r="Q64" i="1" s="1"/>
  <c r="S67" i="1"/>
  <c r="P73" i="1"/>
  <c r="P75" i="1" s="1"/>
  <c r="P63" i="1"/>
  <c r="P64" i="1" s="1"/>
  <c r="S71" i="1"/>
  <c r="O76" i="1" l="1"/>
  <c r="T71" i="1"/>
  <c r="P76" i="1"/>
  <c r="P81" i="1"/>
  <c r="Q76" i="1"/>
  <c r="Q81" i="1"/>
  <c r="T67" i="1"/>
  <c r="O83" i="1"/>
  <c r="O82" i="1" s="1"/>
  <c r="O84" i="1" s="1"/>
  <c r="O89" i="1" s="1"/>
  <c r="O93" i="1" s="1"/>
  <c r="U67" i="1" l="1"/>
  <c r="P83" i="1"/>
  <c r="P82" i="1" s="1"/>
  <c r="P84" i="1" s="1"/>
  <c r="P89" i="1" s="1"/>
  <c r="P93" i="1" s="1"/>
  <c r="Q83" i="1"/>
  <c r="Q82" i="1" s="1"/>
  <c r="Q84" i="1" s="1"/>
  <c r="Q89" i="1" s="1"/>
  <c r="Q93" i="1" s="1"/>
  <c r="U71" i="1"/>
  <c r="V67" i="1" l="1"/>
  <c r="V71" i="1"/>
  <c r="W67" i="1" l="1"/>
  <c r="W71" i="1"/>
  <c r="X71" i="1" l="1"/>
  <c r="X67" i="1"/>
  <c r="Y67" i="1" l="1"/>
  <c r="Y71" i="1"/>
  <c r="Z71" i="1" l="1"/>
  <c r="Z67" i="1"/>
  <c r="AA67" i="1" l="1"/>
  <c r="AA71" i="1"/>
  <c r="R39" i="1"/>
  <c r="R43" i="1" l="1"/>
  <c r="R44" i="1" s="1"/>
  <c r="R54" i="1" s="1"/>
  <c r="R40" i="1"/>
  <c r="S39" i="1" s="1"/>
  <c r="S40" i="1" s="1"/>
  <c r="T39" i="1" s="1"/>
  <c r="T43" i="1" l="1"/>
  <c r="T44" i="1" s="1"/>
  <c r="T54" i="1" s="1"/>
  <c r="R68" i="1"/>
  <c r="R66" i="1"/>
  <c r="R87" i="1"/>
  <c r="R55" i="1"/>
  <c r="R70" i="1"/>
  <c r="R60" i="1"/>
  <c r="R57" i="1"/>
  <c r="S43" i="1"/>
  <c r="S44" i="1" s="1"/>
  <c r="S54" i="1" s="1"/>
  <c r="T40" i="1"/>
  <c r="U39" i="1" s="1"/>
  <c r="U43" i="1" s="1"/>
  <c r="U44" i="1" s="1"/>
  <c r="U54" i="1" s="1"/>
  <c r="R61" i="1" l="1"/>
  <c r="S57" i="1"/>
  <c r="S55" i="1"/>
  <c r="S60" i="1"/>
  <c r="S66" i="1"/>
  <c r="S68" i="1"/>
  <c r="S70" i="1"/>
  <c r="S87" i="1"/>
  <c r="U66" i="1"/>
  <c r="U55" i="1"/>
  <c r="U68" i="1"/>
  <c r="U87" i="1"/>
  <c r="U70" i="1"/>
  <c r="U60" i="1"/>
  <c r="U57" i="1"/>
  <c r="U40" i="1"/>
  <c r="V39" i="1" s="1"/>
  <c r="T68" i="1"/>
  <c r="T70" i="1"/>
  <c r="T87" i="1"/>
  <c r="T66" i="1"/>
  <c r="T60" i="1"/>
  <c r="T57" i="1"/>
  <c r="T55" i="1"/>
  <c r="U61" i="1" l="1"/>
  <c r="U73" i="1" s="1"/>
  <c r="U75" i="1" s="1"/>
  <c r="U81" i="1" s="1"/>
  <c r="V43" i="1"/>
  <c r="V44" i="1" s="1"/>
  <c r="V54" i="1" s="1"/>
  <c r="R73" i="1"/>
  <c r="R75" i="1" s="1"/>
  <c r="R63" i="1"/>
  <c r="R64" i="1" s="1"/>
  <c r="T61" i="1"/>
  <c r="V40" i="1"/>
  <c r="W39" i="1" s="1"/>
  <c r="W43" i="1" s="1"/>
  <c r="W44" i="1" s="1"/>
  <c r="W54" i="1" s="1"/>
  <c r="S61" i="1"/>
  <c r="U63" i="1" l="1"/>
  <c r="U64" i="1" s="1"/>
  <c r="U76" i="1"/>
  <c r="S73" i="1"/>
  <c r="S75" i="1" s="1"/>
  <c r="S63" i="1"/>
  <c r="S64" i="1" s="1"/>
  <c r="U83" i="1"/>
  <c r="U82" i="1" s="1"/>
  <c r="U84" i="1" s="1"/>
  <c r="U89" i="1" s="1"/>
  <c r="U93" i="1" s="1"/>
  <c r="W68" i="1"/>
  <c r="W55" i="1"/>
  <c r="W66" i="1"/>
  <c r="W87" i="1"/>
  <c r="W70" i="1"/>
  <c r="W60" i="1"/>
  <c r="W57" i="1"/>
  <c r="T73" i="1"/>
  <c r="T75" i="1" s="1"/>
  <c r="T63" i="1"/>
  <c r="T64" i="1" s="1"/>
  <c r="V87" i="1"/>
  <c r="V66" i="1"/>
  <c r="V57" i="1"/>
  <c r="V60" i="1"/>
  <c r="V70" i="1"/>
  <c r="V68" i="1"/>
  <c r="V55" i="1"/>
  <c r="W40" i="1"/>
  <c r="X39" i="1" s="1"/>
  <c r="X43" i="1" s="1"/>
  <c r="X44" i="1" s="1"/>
  <c r="X54" i="1" s="1"/>
  <c r="R81" i="1"/>
  <c r="R76" i="1"/>
  <c r="X40" i="1" l="1"/>
  <c r="Y39" i="1" s="1"/>
  <c r="Y43" i="1" s="1"/>
  <c r="Y44" i="1" s="1"/>
  <c r="Y54" i="1" s="1"/>
  <c r="V61" i="1"/>
  <c r="V73" i="1" s="1"/>
  <c r="V75" i="1" s="1"/>
  <c r="V76" i="1" s="1"/>
  <c r="R83" i="1"/>
  <c r="R82" i="1" s="1"/>
  <c r="R84" i="1" s="1"/>
  <c r="R89" i="1" s="1"/>
  <c r="R93" i="1" s="1"/>
  <c r="T76" i="1"/>
  <c r="T81" i="1"/>
  <c r="X66" i="1"/>
  <c r="X55" i="1"/>
  <c r="X60" i="1"/>
  <c r="X57" i="1"/>
  <c r="X70" i="1"/>
  <c r="X87" i="1"/>
  <c r="X68" i="1"/>
  <c r="W61" i="1"/>
  <c r="S76" i="1"/>
  <c r="S81" i="1"/>
  <c r="Y87" i="1" l="1"/>
  <c r="V63" i="1"/>
  <c r="V64" i="1" s="1"/>
  <c r="Y57" i="1"/>
  <c r="Y68" i="1"/>
  <c r="Y40" i="1"/>
  <c r="Z39" i="1" s="1"/>
  <c r="Z43" i="1" s="1"/>
  <c r="Z44" i="1" s="1"/>
  <c r="Z54" i="1" s="1"/>
  <c r="Y55" i="1"/>
  <c r="Y60" i="1"/>
  <c r="V81" i="1"/>
  <c r="V83" i="1" s="1"/>
  <c r="V82" i="1" s="1"/>
  <c r="V84" i="1" s="1"/>
  <c r="V89" i="1" s="1"/>
  <c r="V93" i="1" s="1"/>
  <c r="S83" i="1"/>
  <c r="S82" i="1" s="1"/>
  <c r="S84" i="1" s="1"/>
  <c r="S89" i="1" s="1"/>
  <c r="S93" i="1" s="1"/>
  <c r="X61" i="1"/>
  <c r="T83" i="1"/>
  <c r="T82" i="1" s="1"/>
  <c r="T84" i="1" s="1"/>
  <c r="T89" i="1" s="1"/>
  <c r="T93" i="1" s="1"/>
  <c r="W73" i="1"/>
  <c r="W75" i="1" s="1"/>
  <c r="W63" i="1"/>
  <c r="W64" i="1" s="1"/>
  <c r="Y66" i="1" l="1"/>
  <c r="Y70" i="1"/>
  <c r="Y61" i="1"/>
  <c r="Z40" i="1"/>
  <c r="AA39" i="1" s="1"/>
  <c r="AA40" i="1" s="1"/>
  <c r="Z57" i="1"/>
  <c r="Z68" i="1"/>
  <c r="Z60" i="1"/>
  <c r="Z87" i="1"/>
  <c r="Z70" i="1"/>
  <c r="Z66" i="1"/>
  <c r="Z55" i="1"/>
  <c r="W76" i="1"/>
  <c r="W81" i="1"/>
  <c r="X73" i="1"/>
  <c r="X75" i="1" s="1"/>
  <c r="X63" i="1"/>
  <c r="X64" i="1" s="1"/>
  <c r="Y73" i="1" l="1"/>
  <c r="Y75" i="1" s="1"/>
  <c r="Y81" i="1" s="1"/>
  <c r="Y63" i="1"/>
  <c r="Y64" i="1" s="1"/>
  <c r="AA43" i="1"/>
  <c r="AA44" i="1" s="1"/>
  <c r="AA54" i="1" s="1"/>
  <c r="W83" i="1"/>
  <c r="W82" i="1" s="1"/>
  <c r="W84" i="1" s="1"/>
  <c r="W89" i="1" s="1"/>
  <c r="W93" i="1" s="1"/>
  <c r="Z61" i="1"/>
  <c r="X81" i="1"/>
  <c r="X76" i="1"/>
  <c r="Y76" i="1" l="1"/>
  <c r="AA87" i="1"/>
  <c r="AA55" i="1"/>
  <c r="Y83" i="1"/>
  <c r="Y82" i="1" s="1"/>
  <c r="Y84" i="1" s="1"/>
  <c r="Y89" i="1" s="1"/>
  <c r="Y93" i="1" s="1"/>
  <c r="Z73" i="1"/>
  <c r="Z75" i="1" s="1"/>
  <c r="Z63" i="1"/>
  <c r="Z64" i="1" s="1"/>
  <c r="X83" i="1"/>
  <c r="X82" i="1" s="1"/>
  <c r="X84" i="1" s="1"/>
  <c r="X89" i="1" s="1"/>
  <c r="X93" i="1" s="1"/>
  <c r="AA70" i="1" l="1"/>
  <c r="AA60" i="1"/>
  <c r="AA68" i="1"/>
  <c r="AA57" i="1"/>
  <c r="AA66" i="1"/>
  <c r="Z76" i="1"/>
  <c r="Z81" i="1"/>
  <c r="AA61" i="1" l="1"/>
  <c r="AA63" i="1" s="1"/>
  <c r="AA64" i="1" s="1"/>
  <c r="Z83" i="1"/>
  <c r="Z82" i="1" s="1"/>
  <c r="Z84" i="1" s="1"/>
  <c r="Z89" i="1" s="1"/>
  <c r="Z93" i="1" s="1"/>
  <c r="AA73" i="1" l="1"/>
  <c r="AA75" i="1" s="1"/>
  <c r="AA81" i="1" s="1"/>
  <c r="AA83" i="1" s="1"/>
  <c r="AA82" i="1" s="1"/>
  <c r="AA84" i="1" s="1"/>
  <c r="AA89" i="1" s="1"/>
  <c r="AA93" i="1" s="1"/>
  <c r="F95" i="1" s="1"/>
  <c r="AA76" i="1" l="1"/>
  <c r="F97" i="1"/>
  <c r="F98" i="1" s="1"/>
  <c r="C107" i="1" l="1"/>
  <c r="C137" i="1"/>
  <c r="C1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RM</author>
  </authors>
  <commentList>
    <comment ref="G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from census.gov</t>
        </r>
      </text>
    </comment>
    <comment ref="G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census.gov</t>
        </r>
      </text>
    </comment>
    <comment ref="G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high end of incidence estimate: https://ojrd.biomedcentral.com/articles/10.1186/1750-1172-6-71</t>
        </r>
      </text>
    </comment>
    <comment ref="G2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https://ojrd.biomedcentral.com/track/pdf/10.1186/s13023-017-0671-8</t>
        </r>
      </text>
    </comment>
    <comment ref="G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https://ojrd.biomedcentral.com/track/pdf/10.1186/s13023-017-0671-8</t>
        </r>
      </text>
    </comment>
    <comment ref="M2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assumes FDA approval in may 2019</t>
        </r>
      </text>
    </comment>
    <comment ref="P2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from equity research</t>
        </r>
      </text>
    </comment>
    <comment ref="M2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launched in q4 2016 in us</t>
        </r>
      </text>
    </comment>
    <comment ref="N2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first full year of launch in US, first year of launch in EU</t>
        </r>
      </text>
    </comment>
    <comment ref="M2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https://endpts.com/to-be-cost-effective-biogen-should-slash-spinraza-price-and-novartis-cannot-justify-a-4m-5m-price-tag-for-zolgensma-icer/</t>
        </r>
      </text>
    </comment>
    <comment ref="M2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https://endpts.com/to-be-cost-effective-biogen-should-slash-spinraza-price-and-novartis-cannot-justify-a-4m-5m-price-tag-for-zolgensma-icer/</t>
        </r>
      </text>
    </comment>
    <comment ref="G3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assumes US SMA prevalence of 10,000 with 52% of cases being type 2: http://www.smafoundation.org/wp-content/uploads/2012/03/SMA-Overview.pdf</t>
        </r>
      </text>
    </comment>
    <comment ref="G3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assumes 5% of Type 2 SMA patients die / year per equity research</t>
        </r>
      </text>
    </comment>
    <comment ref="Q38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made up -- assumes AVXS-101 data in type 2 is good but docs / payers prefer nusinersen because of cost</t>
        </r>
      </text>
    </comment>
    <comment ref="M46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equity research estimates</t>
        </r>
      </text>
    </comment>
    <comment ref="M4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assumed to grow at rate of inflation</t>
        </r>
      </text>
    </comment>
    <comment ref="M48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equity research estimates</t>
        </r>
      </text>
    </comment>
    <comment ref="M50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equity research; probability of approval post-BLA submission is 85%+</t>
        </r>
      </text>
    </comment>
    <comment ref="M58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from consensus equity research</t>
        </r>
      </text>
    </comment>
    <comment ref="M59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from equity research</t>
        </r>
      </text>
    </comment>
    <comment ref="L66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annualized based on 1Q 2018 actuals</t>
        </r>
      </text>
    </comment>
    <comment ref="M66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made up</t>
        </r>
      </text>
    </comment>
    <comment ref="N66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made up</t>
        </r>
      </text>
    </comment>
    <comment ref="O6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made up</t>
        </r>
      </text>
    </comment>
    <comment ref="P66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made up</t>
        </r>
      </text>
    </comment>
    <comment ref="M69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made up -- should benchmark based on marketing costs of comparable orphan drugs plus cost / rep and reps needed per patient treated</t>
        </r>
      </text>
    </comment>
    <comment ref="L70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annualized based on 1Q 2018 actuals, excluding non-recurring license payments to Regenxbio and Genethon license agreement payments of $135.2M</t>
        </r>
      </text>
    </comment>
    <comment ref="M70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equity research</t>
        </r>
      </text>
    </comment>
    <comment ref="N70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equity research</t>
        </r>
      </text>
    </comment>
    <comment ref="O70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equity research</t>
        </r>
      </text>
    </comment>
    <comment ref="M85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from equity research</t>
        </r>
      </text>
    </comment>
    <comment ref="F91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equity research</t>
        </r>
      </text>
    </comment>
    <comment ref="F96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RM:</t>
        </r>
        <r>
          <rPr>
            <sz val="9"/>
            <color indexed="81"/>
            <rFont val="Tahoma"/>
            <family val="2"/>
          </rPr>
          <t xml:space="preserve">
equity research</t>
        </r>
      </text>
    </comment>
  </commentList>
</comments>
</file>

<file path=xl/sharedStrings.xml><?xml version="1.0" encoding="utf-8"?>
<sst xmlns="http://schemas.openxmlformats.org/spreadsheetml/2006/main" count="179" uniqueCount="97">
  <si>
    <t>G&amp;A</t>
  </si>
  <si>
    <t>R&amp;D</t>
  </si>
  <si>
    <t>Total opex</t>
  </si>
  <si>
    <t>Price / patient</t>
  </si>
  <si>
    <t>Sources:</t>
  </si>
  <si>
    <t>2017 AVXS 10-K page 115</t>
  </si>
  <si>
    <t>https://www.sec.gov/Archives/edgar/data/1652923/000155837018001313/avxs-20171231x10k.htm#Item7ManagementsDiscussionandAnalysis_58</t>
  </si>
  <si>
    <t>AVXS 424B4 2/10/2016 page 82</t>
  </si>
  <si>
    <t>https://www.sec.gov/Archives/edgar/data/1652923/000104746916010121/a2227319z424b4.htm#cs70204_selected_consolidated_financial_data</t>
  </si>
  <si>
    <t>N/A</t>
  </si>
  <si>
    <t>$ in millions</t>
  </si>
  <si>
    <t>Revenue build</t>
  </si>
  <si>
    <t>Live births</t>
  </si>
  <si>
    <t>SMA incidence</t>
  </si>
  <si>
    <t>New cases of SMA</t>
  </si>
  <si>
    <t>New cases of Type 1 SMA</t>
  </si>
  <si>
    <t>% of Type 1 cases</t>
  </si>
  <si>
    <t>% treated with AVXS-101</t>
  </si>
  <si>
    <t>% growth</t>
  </si>
  <si>
    <t>Q1 2018 AVXS 10-Q page 4</t>
  </si>
  <si>
    <t>https://www.sec.gov/Archives/edgar/data/1652923/000155837018004054/avxs-20180331x10q.htm</t>
  </si>
  <si>
    <t>Type 2 prevalence, beginning of year</t>
  </si>
  <si>
    <t>New cases of Type 2 SMA</t>
  </si>
  <si>
    <t>% of Type 2 cases</t>
  </si>
  <si>
    <t>Population</t>
  </si>
  <si>
    <t>US Census Bureau</t>
  </si>
  <si>
    <t>https://www.census.gov/data/datasets/time-series/demo/popest/2010s-state-total.html#par_textimage_500989927</t>
  </si>
  <si>
    <t>Deaths</t>
  </si>
  <si>
    <t>% of Type 2 patients that die</t>
  </si>
  <si>
    <t>Type 2 prevalence, end of year</t>
  </si>
  <si>
    <t>Type 1 patients treated with AVXS-101</t>
  </si>
  <si>
    <t>Type 2 patients treated with AVXS-101</t>
  </si>
  <si>
    <t>Type 2 patients not treated with AVXS-101, end of year</t>
  </si>
  <si>
    <t>Total patients treated with AVXS-101</t>
  </si>
  <si>
    <t>% margin</t>
  </si>
  <si>
    <t>% of sales</t>
  </si>
  <si>
    <t>https://www.baybridgebio.com/</t>
  </si>
  <si>
    <t>Royalty rate</t>
  </si>
  <si>
    <t>COGS, excl. royalties</t>
  </si>
  <si>
    <t>Royalties</t>
  </si>
  <si>
    <t>Gross to net discount</t>
  </si>
  <si>
    <t>COGS, incl. royalties</t>
  </si>
  <si>
    <t>Gross profit</t>
  </si>
  <si>
    <t>Sales and marketing</t>
  </si>
  <si>
    <t>% sales</t>
  </si>
  <si>
    <t>Operating profit / (loss)</t>
  </si>
  <si>
    <t>Discounted cash flow analysis</t>
  </si>
  <si>
    <t>Taxes</t>
  </si>
  <si>
    <t>Tax rate</t>
  </si>
  <si>
    <t>Tax-adjusted EBIT</t>
  </si>
  <si>
    <t>EBIT (earnings before interest and taxes)</t>
  </si>
  <si>
    <t>Plus: depreciation and amortization</t>
  </si>
  <si>
    <t>Less: capex</t>
  </si>
  <si>
    <t>Less: changes in working capital</t>
  </si>
  <si>
    <t>Free cash flow</t>
  </si>
  <si>
    <t>Discount rate</t>
  </si>
  <si>
    <t>Discount factor</t>
  </si>
  <si>
    <t>Discounted cash flows</t>
  </si>
  <si>
    <t>NPV of cash flows through forecast</t>
  </si>
  <si>
    <t>Terminal value</t>
  </si>
  <si>
    <t>Terminal growth rate</t>
  </si>
  <si>
    <t>Enterprise value of US business</t>
  </si>
  <si>
    <t>x</t>
  </si>
  <si>
    <t>Spinraza price: first year</t>
  </si>
  <si>
    <t>Spinraza price: subsequent years</t>
  </si>
  <si>
    <t>Implied market penetration (Type 1 + 2)</t>
  </si>
  <si>
    <t>Sensitivity analyses</t>
  </si>
  <si>
    <t>How do changes in key variables impact valuation?</t>
  </si>
  <si>
    <t>Epidemiology estimates -- there are ranges of total incidence as well as Type 1 incidence in the literature</t>
  </si>
  <si>
    <t>Increment</t>
  </si>
  <si>
    <t>% of SMA diagnoses that are Type 1</t>
  </si>
  <si>
    <t>Enterprise value across ranges of epidemiology estimates ($M)</t>
  </si>
  <si>
    <t>Competition -- competition impacts market penetration and price</t>
  </si>
  <si>
    <t>Enterprise value across ranges of competitive scenarios ($M)</t>
  </si>
  <si>
    <t>Peak market penetration</t>
  </si>
  <si>
    <t>Price ($ in millions)</t>
  </si>
  <si>
    <t>Clinical and regulatory risk -- if the drug fails its pivotal clinical study, or if FDA requires additional studies</t>
  </si>
  <si>
    <t>This is unlikely but shows why expedited approval is important for rare disease drugs</t>
  </si>
  <si>
    <t>Enterprise value across ranges of clin / reg scenarios ($M)</t>
  </si>
  <si>
    <t>Probability of approval</t>
  </si>
  <si>
    <t>Probability of FDA approval</t>
  </si>
  <si>
    <t>Revenue (probability adjusted)</t>
  </si>
  <si>
    <t>2019 R&amp;D expense</t>
  </si>
  <si>
    <t>Also, modeling an additional clinical study simply by changing 2019 R&amp;D expenditure is not correct (would have to change year of launch as well) but I simplified this to make it easier to model</t>
  </si>
  <si>
    <t>Created by Bay Bridge Bio, LLC -- this is just an illustrative model, not meant to be investment advice!</t>
  </si>
  <si>
    <t>For simplicity, this model represents US revenues only</t>
  </si>
  <si>
    <t>red text represents formulas unlike those in neighboring cells</t>
  </si>
  <si>
    <t>blue text represents inputs -- change these to see how various assumptions impact the model</t>
  </si>
  <si>
    <t>black text represents formulas -- you don't need to change these, if you want to change them just be aware it will change how the model works</t>
  </si>
  <si>
    <t>Summary income statement</t>
  </si>
  <si>
    <t>This is a very simplified DCF; to do this properly you need to build a 3-statement model or at least a capex and working capital schedule</t>
  </si>
  <si>
    <t>Other sources are linked to in comments on the relevant cells</t>
  </si>
  <si>
    <t>https://www.sec.gov/Archives/edgar/data/875045/000087504519000006/biib-20181231x10k.htm</t>
  </si>
  <si>
    <t>2018 BIIB page 59 10-K</t>
  </si>
  <si>
    <t>Spinraza revenue, adjusted for launch year (from Biogen 2018 10-K)</t>
  </si>
  <si>
    <t>Using Spinraza as a benchmark for AVXS-101's launch</t>
  </si>
  <si>
    <t>Implied patients treated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</si>
</sst>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164" formatCode="&quot;$&quot;#,##0.0_);\(&quot;$&quot;#,##0.0\)"/>
    <numFmt numFmtId="165" formatCode="#,##0.0_);\(#,##0.0\)"/>
    <numFmt numFmtId="166" formatCode="&quot;$&quot;#,##0.000_);\(&quot;$&quot;#,##0.000\)"/>
    <numFmt numFmtId="167" formatCode="0.0%"/>
    <numFmt numFmtId="168" formatCode="0.0000%"/>
    <numFmt numFmtId="169" formatCode="#\P"/>
    <numFmt numFmtId="170" formatCode="&quot;$&quot;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6">
    <xf numFmtId="0" fontId="0" fillId="0" borderId="0" xfId="0"/>
    <xf numFmtId="0" fontId="5" fillId="0" borderId="0" xfId="1"/>
    <xf numFmtId="164" fontId="0" fillId="0" borderId="0" xfId="0" applyNumberFormat="1"/>
    <xf numFmtId="165" fontId="0" fillId="0" borderId="0" xfId="0" applyNumberFormat="1"/>
    <xf numFmtId="164" fontId="7" fillId="0" borderId="0" xfId="0" applyNumberFormat="1" applyFont="1"/>
    <xf numFmtId="165" fontId="7" fillId="0" borderId="0" xfId="0" applyNumberFormat="1" applyFont="1"/>
    <xf numFmtId="0" fontId="7" fillId="0" borderId="0" xfId="0" applyFont="1"/>
    <xf numFmtId="166" fontId="7" fillId="0" borderId="0" xfId="0" applyNumberFormat="1" applyFont="1"/>
    <xf numFmtId="0" fontId="4" fillId="3" borderId="0" xfId="0" applyFont="1" applyFill="1"/>
    <xf numFmtId="0" fontId="1" fillId="3" borderId="0" xfId="0" applyFont="1" applyFill="1" applyAlignment="1">
      <alignment horizontal="center"/>
    </xf>
    <xf numFmtId="0" fontId="3" fillId="0" borderId="0" xfId="0" applyFont="1"/>
    <xf numFmtId="0" fontId="0" fillId="0" borderId="0" xfId="0" applyFont="1"/>
    <xf numFmtId="0" fontId="10" fillId="0" borderId="0" xfId="0" applyFont="1"/>
    <xf numFmtId="37" fontId="7" fillId="0" borderId="0" xfId="0" applyNumberFormat="1" applyFont="1"/>
    <xf numFmtId="9" fontId="0" fillId="0" borderId="0" xfId="0" applyNumberFormat="1"/>
    <xf numFmtId="9" fontId="7" fillId="0" borderId="0" xfId="0" applyNumberFormat="1" applyFont="1"/>
    <xf numFmtId="167" fontId="7" fillId="0" borderId="0" xfId="0" applyNumberFormat="1" applyFont="1"/>
    <xf numFmtId="167" fontId="0" fillId="0" borderId="0" xfId="0" applyNumberFormat="1"/>
    <xf numFmtId="37" fontId="0" fillId="0" borderId="0" xfId="0" applyNumberFormat="1"/>
    <xf numFmtId="168" fontId="0" fillId="0" borderId="0" xfId="0" applyNumberFormat="1"/>
    <xf numFmtId="168" fontId="7" fillId="0" borderId="0" xfId="0" applyNumberFormat="1" applyFont="1"/>
    <xf numFmtId="0" fontId="0" fillId="0" borderId="0" xfId="0" applyAlignment="1">
      <alignment horizontal="left" indent="1"/>
    </xf>
    <xf numFmtId="37" fontId="3" fillId="0" borderId="0" xfId="0" applyNumberFormat="1" applyFont="1"/>
    <xf numFmtId="37" fontId="0" fillId="0" borderId="0" xfId="0" applyNumberFormat="1" applyFont="1"/>
    <xf numFmtId="0" fontId="0" fillId="0" borderId="0" xfId="0" applyFont="1" applyAlignment="1">
      <alignment horizontal="left" indent="1"/>
    </xf>
    <xf numFmtId="169" fontId="1" fillId="3" borderId="0" xfId="0" applyNumberFormat="1" applyFont="1" applyFill="1" applyAlignment="1">
      <alignment horizontal="center"/>
    </xf>
    <xf numFmtId="170" fontId="0" fillId="0" borderId="0" xfId="0" applyNumberFormat="1"/>
    <xf numFmtId="167" fontId="6" fillId="0" borderId="0" xfId="0" applyNumberFormat="1" applyFont="1"/>
    <xf numFmtId="167" fontId="0" fillId="0" borderId="0" xfId="0" applyNumberFormat="1" applyFont="1"/>
    <xf numFmtId="167" fontId="2" fillId="0" borderId="0" xfId="0" applyNumberFormat="1" applyFont="1"/>
    <xf numFmtId="167" fontId="7" fillId="0" borderId="0" xfId="0" applyNumberFormat="1" applyFont="1" applyAlignment="1">
      <alignment horizontal="right"/>
    </xf>
    <xf numFmtId="2" fontId="0" fillId="0" borderId="0" xfId="0" applyNumberFormat="1" applyAlignment="1">
      <alignment horizontal="left" indent="1"/>
    </xf>
    <xf numFmtId="167" fontId="0" fillId="0" borderId="0" xfId="0" applyNumberFormat="1" applyAlignment="1">
      <alignment horizontal="right"/>
    </xf>
    <xf numFmtId="164" fontId="3" fillId="0" borderId="0" xfId="0" applyNumberFormat="1" applyFont="1"/>
    <xf numFmtId="0" fontId="0" fillId="0" borderId="1" xfId="0" applyBorder="1"/>
    <xf numFmtId="167" fontId="0" fillId="0" borderId="1" xfId="0" applyNumberFormat="1" applyBorder="1"/>
    <xf numFmtId="37" fontId="0" fillId="0" borderId="1" xfId="0" applyNumberFormat="1" applyBorder="1"/>
    <xf numFmtId="168" fontId="0" fillId="0" borderId="1" xfId="0" applyNumberFormat="1" applyBorder="1"/>
    <xf numFmtId="167" fontId="0" fillId="0" borderId="1" xfId="0" applyNumberFormat="1" applyFont="1" applyBorder="1"/>
    <xf numFmtId="37" fontId="0" fillId="0" borderId="1" xfId="0" applyNumberFormat="1" applyFont="1" applyBorder="1"/>
    <xf numFmtId="167" fontId="7" fillId="0" borderId="1" xfId="0" applyNumberFormat="1" applyFont="1" applyBorder="1"/>
    <xf numFmtId="37" fontId="3" fillId="0" borderId="1" xfId="0" applyNumberFormat="1" applyFont="1" applyBorder="1"/>
    <xf numFmtId="167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/>
    <xf numFmtId="165" fontId="7" fillId="0" borderId="1" xfId="0" applyNumberFormat="1" applyFont="1" applyBorder="1"/>
    <xf numFmtId="164" fontId="0" fillId="0" borderId="1" xfId="0" applyNumberFormat="1" applyBorder="1"/>
    <xf numFmtId="167" fontId="0" fillId="0" borderId="1" xfId="0" applyNumberFormat="1" applyBorder="1" applyAlignment="1">
      <alignment horizontal="right"/>
    </xf>
    <xf numFmtId="165" fontId="0" fillId="0" borderId="1" xfId="0" applyNumberFormat="1" applyBorder="1"/>
    <xf numFmtId="164" fontId="0" fillId="0" borderId="0" xfId="0" applyNumberFormat="1" applyBorder="1"/>
    <xf numFmtId="164" fontId="7" fillId="0" borderId="0" xfId="0" applyNumberFormat="1" applyFont="1" applyBorder="1"/>
    <xf numFmtId="165" fontId="0" fillId="0" borderId="0" xfId="0" applyNumberFormat="1" applyFont="1"/>
    <xf numFmtId="0" fontId="0" fillId="0" borderId="3" xfId="0" applyBorder="1"/>
    <xf numFmtId="164" fontId="0" fillId="0" borderId="3" xfId="0" applyNumberFormat="1" applyBorder="1"/>
    <xf numFmtId="0" fontId="0" fillId="0" borderId="0" xfId="0" applyBorder="1"/>
    <xf numFmtId="164" fontId="0" fillId="4" borderId="0" xfId="0" applyNumberFormat="1" applyFill="1"/>
    <xf numFmtId="164" fontId="6" fillId="4" borderId="0" xfId="0" applyNumberFormat="1" applyFont="1" applyFill="1"/>
    <xf numFmtId="164" fontId="4" fillId="4" borderId="0" xfId="0" applyNumberFormat="1" applyFont="1" applyFill="1"/>
    <xf numFmtId="5" fontId="0" fillId="4" borderId="2" xfId="0" applyNumberFormat="1" applyFill="1" applyBorder="1"/>
    <xf numFmtId="5" fontId="0" fillId="4" borderId="3" xfId="0" applyNumberFormat="1" applyFill="1" applyBorder="1"/>
    <xf numFmtId="5" fontId="0" fillId="2" borderId="4" xfId="0" applyNumberFormat="1" applyFill="1" applyBorder="1"/>
    <xf numFmtId="5" fontId="0" fillId="4" borderId="5" xfId="0" applyNumberFormat="1" applyFill="1" applyBorder="1"/>
    <xf numFmtId="5" fontId="0" fillId="4" borderId="0" xfId="0" applyNumberFormat="1" applyFill="1" applyBorder="1"/>
    <xf numFmtId="5" fontId="0" fillId="2" borderId="1" xfId="0" applyNumberFormat="1" applyFill="1" applyBorder="1"/>
    <xf numFmtId="5" fontId="0" fillId="2" borderId="5" xfId="0" applyNumberFormat="1" applyFill="1" applyBorder="1"/>
    <xf numFmtId="5" fontId="0" fillId="2" borderId="0" xfId="0" applyNumberFormat="1" applyFill="1" applyBorder="1"/>
    <xf numFmtId="5" fontId="0" fillId="4" borderId="6" xfId="0" applyNumberFormat="1" applyFill="1" applyBorder="1"/>
    <xf numFmtId="5" fontId="0" fillId="4" borderId="7" xfId="0" applyNumberFormat="1" applyFill="1" applyBorder="1"/>
    <xf numFmtId="5" fontId="0" fillId="2" borderId="8" xfId="0" applyNumberFormat="1" applyFill="1" applyBorder="1"/>
    <xf numFmtId="0" fontId="3" fillId="4" borderId="0" xfId="0" applyFont="1" applyFill="1"/>
    <xf numFmtId="0" fontId="0" fillId="4" borderId="0" xfId="0" applyFill="1"/>
    <xf numFmtId="0" fontId="1" fillId="3" borderId="0" xfId="0" applyFont="1" applyFill="1"/>
    <xf numFmtId="0" fontId="1" fillId="3" borderId="0" xfId="0" applyFont="1" applyFill="1" applyAlignment="1">
      <alignment horizontal="centerContinuous"/>
    </xf>
    <xf numFmtId="164" fontId="1" fillId="3" borderId="0" xfId="0" applyNumberFormat="1" applyFont="1" applyFill="1" applyAlignment="1">
      <alignment horizontal="centerContinuous"/>
    </xf>
    <xf numFmtId="5" fontId="4" fillId="5" borderId="1" xfId="0" applyNumberFormat="1" applyFont="1" applyFill="1" applyBorder="1"/>
    <xf numFmtId="164" fontId="0" fillId="0" borderId="0" xfId="0" applyNumberFormat="1" applyFont="1"/>
    <xf numFmtId="164" fontId="0" fillId="0" borderId="1" xfId="0" applyNumberFormat="1" applyFont="1" applyBorder="1"/>
    <xf numFmtId="0" fontId="11" fillId="0" borderId="0" xfId="0" applyFont="1"/>
    <xf numFmtId="164" fontId="1" fillId="3" borderId="0" xfId="0" applyNumberFormat="1" applyFont="1" applyFill="1" applyAlignment="1">
      <alignment horizontal="center"/>
    </xf>
    <xf numFmtId="5" fontId="0" fillId="4" borderId="4" xfId="0" applyNumberFormat="1" applyFill="1" applyBorder="1"/>
    <xf numFmtId="5" fontId="0" fillId="4" borderId="1" xfId="0" applyNumberFormat="1" applyFill="1" applyBorder="1"/>
    <xf numFmtId="5" fontId="0" fillId="4" borderId="8" xfId="0" applyNumberFormat="1" applyFill="1" applyBorder="1"/>
    <xf numFmtId="5" fontId="6" fillId="4" borderId="1" xfId="0" applyNumberFormat="1" applyFont="1" applyFill="1" applyBorder="1"/>
    <xf numFmtId="5" fontId="7" fillId="0" borderId="0" xfId="0" applyNumberFormat="1" applyFont="1"/>
    <xf numFmtId="9" fontId="7" fillId="4" borderId="0" xfId="0" applyNumberFormat="1" applyFont="1" applyFill="1"/>
    <xf numFmtId="168" fontId="7" fillId="4" borderId="0" xfId="0" applyNumberFormat="1" applyFont="1" applyFill="1"/>
    <xf numFmtId="168" fontId="7" fillId="2" borderId="0" xfId="0" applyNumberFormat="1" applyFont="1" applyFill="1"/>
    <xf numFmtId="9" fontId="0" fillId="4" borderId="0" xfId="0" applyNumberFormat="1" applyFont="1" applyFill="1"/>
    <xf numFmtId="9" fontId="0" fillId="2" borderId="0" xfId="0" applyNumberFormat="1" applyFont="1" applyFill="1"/>
    <xf numFmtId="167" fontId="0" fillId="4" borderId="0" xfId="0" applyNumberFormat="1" applyFont="1" applyFill="1"/>
    <xf numFmtId="166" fontId="6" fillId="4" borderId="0" xfId="0" applyNumberFormat="1" applyFont="1" applyFill="1"/>
    <xf numFmtId="5" fontId="6" fillId="4" borderId="5" xfId="0" applyNumberFormat="1" applyFont="1" applyFill="1" applyBorder="1"/>
    <xf numFmtId="5" fontId="6" fillId="4" borderId="0" xfId="0" applyNumberFormat="1" applyFont="1" applyFill="1" applyBorder="1"/>
    <xf numFmtId="166" fontId="7" fillId="2" borderId="0" xfId="0" applyNumberFormat="1" applyFont="1" applyFill="1"/>
    <xf numFmtId="5" fontId="0" fillId="2" borderId="3" xfId="0" applyNumberFormat="1" applyFill="1" applyBorder="1"/>
    <xf numFmtId="5" fontId="0" fillId="2" borderId="7" xfId="0" applyNumberFormat="1" applyFill="1" applyBorder="1"/>
    <xf numFmtId="5" fontId="4" fillId="5" borderId="0" xfId="0" applyNumberFormat="1" applyFont="1" applyFill="1" applyBorder="1"/>
    <xf numFmtId="167" fontId="7" fillId="2" borderId="0" xfId="0" applyNumberFormat="1" applyFont="1" applyFill="1"/>
    <xf numFmtId="164" fontId="7" fillId="2" borderId="0" xfId="0" applyNumberFormat="1" applyFont="1" applyFill="1"/>
    <xf numFmtId="5" fontId="0" fillId="2" borderId="2" xfId="0" applyNumberFormat="1" applyFill="1" applyBorder="1"/>
    <xf numFmtId="5" fontId="6" fillId="4" borderId="6" xfId="0" applyNumberFormat="1" applyFont="1" applyFill="1" applyBorder="1"/>
    <xf numFmtId="5" fontId="6" fillId="4" borderId="7" xfId="0" applyNumberFormat="1" applyFont="1" applyFill="1" applyBorder="1"/>
    <xf numFmtId="5" fontId="6" fillId="4" borderId="8" xfId="0" applyNumberFormat="1" applyFont="1" applyFill="1" applyBorder="1"/>
    <xf numFmtId="5" fontId="6" fillId="2" borderId="0" xfId="0" applyNumberFormat="1" applyFont="1" applyFill="1" applyBorder="1"/>
    <xf numFmtId="5" fontId="6" fillId="2" borderId="7" xfId="0" applyNumberFormat="1" applyFont="1" applyFill="1" applyBorder="1"/>
    <xf numFmtId="5" fontId="4" fillId="6" borderId="3" xfId="0" applyNumberFormat="1" applyFont="1" applyFill="1" applyBorder="1"/>
    <xf numFmtId="0" fontId="2" fillId="0" borderId="0" xfId="0" applyFont="1"/>
    <xf numFmtId="164" fontId="0" fillId="0" borderId="4" xfId="0" applyNumberFormat="1" applyBorder="1"/>
    <xf numFmtId="0" fontId="0" fillId="0" borderId="4" xfId="0" applyBorder="1"/>
    <xf numFmtId="166" fontId="7" fillId="0" borderId="3" xfId="0" applyNumberFormat="1" applyFont="1" applyBorder="1"/>
    <xf numFmtId="165" fontId="0" fillId="0" borderId="3" xfId="0" applyNumberFormat="1" applyBorder="1"/>
    <xf numFmtId="0" fontId="0" fillId="0" borderId="3" xfId="0" applyFont="1" applyBorder="1"/>
    <xf numFmtId="37" fontId="7" fillId="0" borderId="3" xfId="0" applyNumberFormat="1" applyFont="1" applyBorder="1"/>
    <xf numFmtId="37" fontId="7" fillId="0" borderId="4" xfId="0" applyNumberFormat="1" applyFont="1" applyBorder="1"/>
    <xf numFmtId="37" fontId="0" fillId="0" borderId="3" xfId="0" applyNumberFormat="1" applyBorder="1"/>
    <xf numFmtId="0" fontId="1" fillId="3" borderId="0" xfId="0" applyFont="1" applyFill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census.gov/data/datasets/time-series/demo/popest/2010s-state-total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ec.gov/Archives/edgar/data/1652923/000155837018004054/avxs-20180331x10q.htm" TargetMode="External"/><Relationship Id="rId1" Type="http://schemas.openxmlformats.org/officeDocument/2006/relationships/hyperlink" Target="https://www.sec.gov/Archives/edgar/data/1652923/000104746916010121/a2227319z424b4.htm" TargetMode="External"/><Relationship Id="rId6" Type="http://schemas.openxmlformats.org/officeDocument/2006/relationships/hyperlink" Target="https://www.sec.gov/Archives/edgar/data/875045/000087504519000006/biib-20181231x10k.htm" TargetMode="External"/><Relationship Id="rId5" Type="http://schemas.openxmlformats.org/officeDocument/2006/relationships/hyperlink" Target="https://www.sec.gov/Archives/edgar/data/1652923/000155837018001313/avxs-20171231x10k.htm" TargetMode="External"/><Relationship Id="rId4" Type="http://schemas.openxmlformats.org/officeDocument/2006/relationships/hyperlink" Target="https://www.baybridgebio.com/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4"/>
  <sheetViews>
    <sheetView showGridLines="0" tabSelected="1" workbookViewId="0">
      <pane xSplit="6" ySplit="9" topLeftCell="G25" activePane="bottomRight" state="frozen"/>
      <selection pane="topRight" activeCell="G1" sqref="G1"/>
      <selection pane="bottomLeft" activeCell="A10" sqref="A10"/>
      <selection pane="bottomRight" activeCell="B31" sqref="B31"/>
    </sheetView>
  </sheetViews>
  <sheetFormatPr defaultRowHeight="14.5" x14ac:dyDescent="0.35"/>
  <cols>
    <col min="2" max="6" width="12" customWidth="1"/>
    <col min="7" max="12" width="11.81640625" customWidth="1"/>
    <col min="13" max="27" width="11.81640625" bestFit="1" customWidth="1"/>
  </cols>
  <sheetData>
    <row r="1" spans="1:28" x14ac:dyDescent="0.35">
      <c r="B1" t="s">
        <v>84</v>
      </c>
    </row>
    <row r="2" spans="1:28" x14ac:dyDescent="0.35">
      <c r="B2" s="1" t="s">
        <v>36</v>
      </c>
    </row>
    <row r="3" spans="1:28" ht="4" customHeight="1" x14ac:dyDescent="0.35">
      <c r="B3" s="1"/>
    </row>
    <row r="4" spans="1:28" x14ac:dyDescent="0.35">
      <c r="B4" s="6" t="s">
        <v>87</v>
      </c>
    </row>
    <row r="5" spans="1:28" x14ac:dyDescent="0.35">
      <c r="B5" t="s">
        <v>88</v>
      </c>
      <c r="O5" s="14"/>
      <c r="P5" s="14"/>
      <c r="Q5" s="14"/>
      <c r="R5" s="14"/>
      <c r="S5" s="14"/>
      <c r="T5" s="14"/>
      <c r="U5" s="14"/>
    </row>
    <row r="6" spans="1:28" x14ac:dyDescent="0.35">
      <c r="B6" s="105" t="s">
        <v>86</v>
      </c>
      <c r="O6" s="14"/>
      <c r="P6" s="14"/>
      <c r="Q6" s="14"/>
      <c r="R6" s="14"/>
      <c r="S6" s="14"/>
      <c r="T6" s="14"/>
      <c r="U6" s="14"/>
    </row>
    <row r="7" spans="1:28" x14ac:dyDescent="0.35">
      <c r="A7" t="s">
        <v>62</v>
      </c>
      <c r="AB7" t="s">
        <v>62</v>
      </c>
    </row>
    <row r="8" spans="1:28" x14ac:dyDescent="0.35">
      <c r="B8" s="8" t="s">
        <v>10</v>
      </c>
      <c r="C8" s="8"/>
      <c r="D8" s="8"/>
      <c r="E8" s="8"/>
      <c r="F8" s="8"/>
      <c r="G8" s="9">
        <v>2013</v>
      </c>
      <c r="H8" s="9">
        <v>2014</v>
      </c>
      <c r="I8" s="9">
        <v>2015</v>
      </c>
      <c r="J8" s="9">
        <v>2016</v>
      </c>
      <c r="K8" s="9">
        <v>2017</v>
      </c>
      <c r="L8" s="9">
        <v>2018</v>
      </c>
      <c r="M8" s="25">
        <v>2019</v>
      </c>
      <c r="N8" s="25">
        <f t="shared" ref="N8:AA8" si="0">+M8+1</f>
        <v>2020</v>
      </c>
      <c r="O8" s="25">
        <f t="shared" si="0"/>
        <v>2021</v>
      </c>
      <c r="P8" s="25">
        <f t="shared" si="0"/>
        <v>2022</v>
      </c>
      <c r="Q8" s="25">
        <f t="shared" si="0"/>
        <v>2023</v>
      </c>
      <c r="R8" s="25">
        <f t="shared" si="0"/>
        <v>2024</v>
      </c>
      <c r="S8" s="25">
        <f t="shared" si="0"/>
        <v>2025</v>
      </c>
      <c r="T8" s="25">
        <f t="shared" si="0"/>
        <v>2026</v>
      </c>
      <c r="U8" s="25">
        <f t="shared" si="0"/>
        <v>2027</v>
      </c>
      <c r="V8" s="25">
        <f t="shared" si="0"/>
        <v>2028</v>
      </c>
      <c r="W8" s="25">
        <f t="shared" si="0"/>
        <v>2029</v>
      </c>
      <c r="X8" s="25">
        <f t="shared" si="0"/>
        <v>2030</v>
      </c>
      <c r="Y8" s="25">
        <f t="shared" si="0"/>
        <v>2031</v>
      </c>
      <c r="Z8" s="25">
        <f t="shared" si="0"/>
        <v>2032</v>
      </c>
      <c r="AA8" s="25">
        <f t="shared" si="0"/>
        <v>2033</v>
      </c>
    </row>
    <row r="9" spans="1:28" ht="4" customHeight="1" x14ac:dyDescent="0.35">
      <c r="L9" s="34"/>
    </row>
    <row r="10" spans="1:28" x14ac:dyDescent="0.35">
      <c r="B10" s="12" t="s">
        <v>85</v>
      </c>
      <c r="L10" s="34"/>
    </row>
    <row r="11" spans="1:28" ht="4" customHeight="1" x14ac:dyDescent="0.35">
      <c r="L11" s="34"/>
    </row>
    <row r="12" spans="1:28" x14ac:dyDescent="0.35">
      <c r="B12" s="10" t="s">
        <v>11</v>
      </c>
      <c r="L12" s="34"/>
    </row>
    <row r="13" spans="1:28" x14ac:dyDescent="0.35">
      <c r="B13" s="110" t="s">
        <v>24</v>
      </c>
      <c r="C13" s="51"/>
      <c r="D13" s="51"/>
      <c r="E13" s="51"/>
      <c r="F13" s="51"/>
      <c r="G13" s="111">
        <v>316057727</v>
      </c>
      <c r="H13" s="111">
        <v>318386421</v>
      </c>
      <c r="I13" s="111">
        <v>320742673</v>
      </c>
      <c r="J13" s="111">
        <v>323071342</v>
      </c>
      <c r="K13" s="111">
        <v>325147121</v>
      </c>
      <c r="L13" s="112">
        <v>327167434</v>
      </c>
      <c r="M13" s="113">
        <f t="shared" ref="I13:M15" si="1">+L13*(1+M14)</f>
        <v>329200300.28543407</v>
      </c>
      <c r="N13" s="113">
        <f t="shared" ref="N13" si="2">+M13*(1+N14)</f>
        <v>331245797.85657996</v>
      </c>
      <c r="O13" s="113">
        <f t="shared" ref="O13" si="3">+N13*(1+O14)</f>
        <v>333304005.19837284</v>
      </c>
      <c r="P13" s="113">
        <f t="shared" ref="P13" si="4">+O13*(1+P14)</f>
        <v>335375001.28341687</v>
      </c>
      <c r="Q13" s="113">
        <f t="shared" ref="Q13" si="5">+P13*(1+Q14)</f>
        <v>337458865.57501519</v>
      </c>
      <c r="R13" s="113">
        <f t="shared" ref="R13" si="6">+Q13*(1+R14)</f>
        <v>339555678.03021902</v>
      </c>
      <c r="S13" s="113">
        <f t="shared" ref="S13" si="7">+R13*(1+S14)</f>
        <v>341665519.10289538</v>
      </c>
      <c r="T13" s="113">
        <f t="shared" ref="T13" si="8">+S13*(1+T14)</f>
        <v>343788469.74681431</v>
      </c>
      <c r="U13" s="113">
        <f t="shared" ref="U13" si="9">+T13*(1+U14)</f>
        <v>345924611.41875488</v>
      </c>
      <c r="V13" s="113">
        <f t="shared" ref="V13" si="10">+U13*(1+V14)</f>
        <v>348074026.08163071</v>
      </c>
      <c r="W13" s="113">
        <f t="shared" ref="W13" si="11">+V13*(1+W14)</f>
        <v>350236796.20763487</v>
      </c>
      <c r="X13" s="113">
        <f t="shared" ref="X13" si="12">+W13*(1+X14)</f>
        <v>352413004.78140426</v>
      </c>
      <c r="Y13" s="113">
        <f t="shared" ref="Y13" si="13">+X13*(1+Y14)</f>
        <v>354602735.30320376</v>
      </c>
      <c r="Z13" s="113">
        <f t="shared" ref="Z13" si="14">+Y13*(1+Z14)</f>
        <v>356806071.79213005</v>
      </c>
      <c r="AA13" s="113">
        <f t="shared" ref="AA13" si="15">+Z13*(1+AA14)</f>
        <v>359023098.78933537</v>
      </c>
    </row>
    <row r="14" spans="1:28" x14ac:dyDescent="0.35">
      <c r="B14" s="24" t="s">
        <v>18</v>
      </c>
      <c r="G14" s="13"/>
      <c r="H14" s="17">
        <f>+H13/G13-1</f>
        <v>7.3679388322627215E-3</v>
      </c>
      <c r="I14" s="17">
        <f t="shared" ref="I14:L14" si="16">+I13/H13-1</f>
        <v>7.4006045628434158E-3</v>
      </c>
      <c r="J14" s="17">
        <f t="shared" si="16"/>
        <v>7.260240672746443E-3</v>
      </c>
      <c r="K14" s="17">
        <f t="shared" si="16"/>
        <v>6.4251412308802269E-3</v>
      </c>
      <c r="L14" s="35">
        <f t="shared" si="16"/>
        <v>6.2135349493068759E-3</v>
      </c>
      <c r="M14" s="17">
        <f>+L14</f>
        <v>6.2135349493068759E-3</v>
      </c>
      <c r="N14" s="17">
        <f t="shared" ref="N14:AA14" si="17">+M14</f>
        <v>6.2135349493068759E-3</v>
      </c>
      <c r="O14" s="17">
        <f t="shared" si="17"/>
        <v>6.2135349493068759E-3</v>
      </c>
      <c r="P14" s="17">
        <f t="shared" si="17"/>
        <v>6.2135349493068759E-3</v>
      </c>
      <c r="Q14" s="17">
        <f t="shared" si="17"/>
        <v>6.2135349493068759E-3</v>
      </c>
      <c r="R14" s="17">
        <f t="shared" si="17"/>
        <v>6.2135349493068759E-3</v>
      </c>
      <c r="S14" s="17">
        <f t="shared" si="17"/>
        <v>6.2135349493068759E-3</v>
      </c>
      <c r="T14" s="17">
        <f t="shared" si="17"/>
        <v>6.2135349493068759E-3</v>
      </c>
      <c r="U14" s="17">
        <f t="shared" si="17"/>
        <v>6.2135349493068759E-3</v>
      </c>
      <c r="V14" s="17">
        <f t="shared" si="17"/>
        <v>6.2135349493068759E-3</v>
      </c>
      <c r="W14" s="17">
        <f t="shared" si="17"/>
        <v>6.2135349493068759E-3</v>
      </c>
      <c r="X14" s="17">
        <f t="shared" si="17"/>
        <v>6.2135349493068759E-3</v>
      </c>
      <c r="Y14" s="17">
        <f t="shared" si="17"/>
        <v>6.2135349493068759E-3</v>
      </c>
      <c r="Z14" s="17">
        <f t="shared" si="17"/>
        <v>6.2135349493068759E-3</v>
      </c>
      <c r="AA14" s="17">
        <f t="shared" si="17"/>
        <v>6.2135349493068759E-3</v>
      </c>
    </row>
    <row r="15" spans="1:28" x14ac:dyDescent="0.35">
      <c r="B15" t="s">
        <v>12</v>
      </c>
      <c r="G15" s="13">
        <v>3855500</v>
      </c>
      <c r="H15" s="18">
        <f>+G15*(1+H16)</f>
        <v>3855500</v>
      </c>
      <c r="I15" s="18">
        <f t="shared" si="1"/>
        <v>3855500</v>
      </c>
      <c r="J15" s="18">
        <f t="shared" si="1"/>
        <v>3855500</v>
      </c>
      <c r="K15" s="18">
        <f t="shared" si="1"/>
        <v>3855500</v>
      </c>
      <c r="L15" s="36">
        <f t="shared" si="1"/>
        <v>3855500</v>
      </c>
      <c r="M15" s="18">
        <f t="shared" si="1"/>
        <v>3855500</v>
      </c>
      <c r="N15" s="18">
        <f t="shared" ref="N15" si="18">+M15*(1+N16)</f>
        <v>3855500</v>
      </c>
      <c r="O15" s="18">
        <f t="shared" ref="O15" si="19">+N15*(1+O16)</f>
        <v>3855500</v>
      </c>
      <c r="P15" s="18">
        <f t="shared" ref="P15" si="20">+O15*(1+P16)</f>
        <v>3855500</v>
      </c>
      <c r="Q15" s="18">
        <f t="shared" ref="Q15" si="21">+P15*(1+Q16)</f>
        <v>3855500</v>
      </c>
      <c r="R15" s="18">
        <f t="shared" ref="R15" si="22">+Q15*(1+R16)</f>
        <v>3855500</v>
      </c>
      <c r="S15" s="18">
        <f t="shared" ref="S15" si="23">+R15*(1+S16)</f>
        <v>3855500</v>
      </c>
      <c r="T15" s="18">
        <f t="shared" ref="T15" si="24">+S15*(1+T16)</f>
        <v>3855500</v>
      </c>
      <c r="U15" s="18">
        <f t="shared" ref="U15" si="25">+T15*(1+U16)</f>
        <v>3855500</v>
      </c>
      <c r="V15" s="18">
        <f t="shared" ref="V15" si="26">+U15*(1+V16)</f>
        <v>3855500</v>
      </c>
      <c r="W15" s="18">
        <f t="shared" ref="W15" si="27">+V15*(1+W16)</f>
        <v>3855500</v>
      </c>
      <c r="X15" s="18">
        <f t="shared" ref="X15" si="28">+W15*(1+X16)</f>
        <v>3855500</v>
      </c>
      <c r="Y15" s="18">
        <f t="shared" ref="Y15" si="29">+X15*(1+Y16)</f>
        <v>3855500</v>
      </c>
      <c r="Z15" s="18">
        <f t="shared" ref="Z15" si="30">+Y15*(1+Z16)</f>
        <v>3855500</v>
      </c>
      <c r="AA15" s="18">
        <f t="shared" ref="AA15" si="31">+Z15*(1+AA16)</f>
        <v>3855500</v>
      </c>
    </row>
    <row r="16" spans="1:28" x14ac:dyDescent="0.35">
      <c r="B16" s="24" t="s">
        <v>18</v>
      </c>
      <c r="G16" s="16">
        <v>0</v>
      </c>
      <c r="H16" s="17">
        <f>+G16</f>
        <v>0</v>
      </c>
      <c r="I16" s="17">
        <f t="shared" ref="I16:M16" si="32">+H16</f>
        <v>0</v>
      </c>
      <c r="J16" s="17">
        <f t="shared" si="32"/>
        <v>0</v>
      </c>
      <c r="K16" s="17">
        <f t="shared" si="32"/>
        <v>0</v>
      </c>
      <c r="L16" s="35">
        <f t="shared" si="32"/>
        <v>0</v>
      </c>
      <c r="M16" s="17">
        <f t="shared" si="32"/>
        <v>0</v>
      </c>
      <c r="N16" s="17">
        <f t="shared" ref="N16:AA16" si="33">+M16</f>
        <v>0</v>
      </c>
      <c r="O16" s="17">
        <f t="shared" si="33"/>
        <v>0</v>
      </c>
      <c r="P16" s="17">
        <f t="shared" si="33"/>
        <v>0</v>
      </c>
      <c r="Q16" s="17">
        <f t="shared" si="33"/>
        <v>0</v>
      </c>
      <c r="R16" s="17">
        <f t="shared" si="33"/>
        <v>0</v>
      </c>
      <c r="S16" s="17">
        <f t="shared" si="33"/>
        <v>0</v>
      </c>
      <c r="T16" s="17">
        <f t="shared" si="33"/>
        <v>0</v>
      </c>
      <c r="U16" s="17">
        <f t="shared" si="33"/>
        <v>0</v>
      </c>
      <c r="V16" s="17">
        <f t="shared" si="33"/>
        <v>0</v>
      </c>
      <c r="W16" s="17">
        <f t="shared" si="33"/>
        <v>0</v>
      </c>
      <c r="X16" s="17">
        <f t="shared" si="33"/>
        <v>0</v>
      </c>
      <c r="Y16" s="17">
        <f t="shared" si="33"/>
        <v>0</v>
      </c>
      <c r="Z16" s="17">
        <f t="shared" si="33"/>
        <v>0</v>
      </c>
      <c r="AA16" s="17">
        <f t="shared" si="33"/>
        <v>0</v>
      </c>
    </row>
    <row r="17" spans="2:27" x14ac:dyDescent="0.35">
      <c r="B17" s="24"/>
      <c r="G17" s="16"/>
      <c r="H17" s="17"/>
      <c r="I17" s="17"/>
      <c r="J17" s="17"/>
      <c r="K17" s="17"/>
      <c r="L17" s="35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2:27" x14ac:dyDescent="0.35">
      <c r="B18" t="s">
        <v>13</v>
      </c>
      <c r="G18" s="20">
        <f>1/6000</f>
        <v>1.6666666666666666E-4</v>
      </c>
      <c r="H18" s="19">
        <f>+G18</f>
        <v>1.6666666666666666E-4</v>
      </c>
      <c r="I18" s="19">
        <f t="shared" ref="I18:M18" si="34">+H18</f>
        <v>1.6666666666666666E-4</v>
      </c>
      <c r="J18" s="19">
        <f t="shared" si="34"/>
        <v>1.6666666666666666E-4</v>
      </c>
      <c r="K18" s="19">
        <f t="shared" si="34"/>
        <v>1.6666666666666666E-4</v>
      </c>
      <c r="L18" s="37">
        <f t="shared" si="34"/>
        <v>1.6666666666666666E-4</v>
      </c>
      <c r="M18" s="19">
        <f t="shared" si="34"/>
        <v>1.6666666666666666E-4</v>
      </c>
      <c r="N18" s="19">
        <f t="shared" ref="N18:AA18" si="35">+M18</f>
        <v>1.6666666666666666E-4</v>
      </c>
      <c r="O18" s="19">
        <f t="shared" si="35"/>
        <v>1.6666666666666666E-4</v>
      </c>
      <c r="P18" s="19">
        <f t="shared" si="35"/>
        <v>1.6666666666666666E-4</v>
      </c>
      <c r="Q18" s="19">
        <f t="shared" si="35"/>
        <v>1.6666666666666666E-4</v>
      </c>
      <c r="R18" s="19">
        <f t="shared" si="35"/>
        <v>1.6666666666666666E-4</v>
      </c>
      <c r="S18" s="19">
        <f t="shared" si="35"/>
        <v>1.6666666666666666E-4</v>
      </c>
      <c r="T18" s="19">
        <f t="shared" si="35"/>
        <v>1.6666666666666666E-4</v>
      </c>
      <c r="U18" s="19">
        <f t="shared" si="35"/>
        <v>1.6666666666666666E-4</v>
      </c>
      <c r="V18" s="19">
        <f t="shared" si="35"/>
        <v>1.6666666666666666E-4</v>
      </c>
      <c r="W18" s="19">
        <f t="shared" si="35"/>
        <v>1.6666666666666666E-4</v>
      </c>
      <c r="X18" s="19">
        <f t="shared" si="35"/>
        <v>1.6666666666666666E-4</v>
      </c>
      <c r="Y18" s="19">
        <f t="shared" si="35"/>
        <v>1.6666666666666666E-4</v>
      </c>
      <c r="Z18" s="19">
        <f t="shared" si="35"/>
        <v>1.6666666666666666E-4</v>
      </c>
      <c r="AA18" s="19">
        <f t="shared" si="35"/>
        <v>1.6666666666666666E-4</v>
      </c>
    </row>
    <row r="19" spans="2:27" x14ac:dyDescent="0.35">
      <c r="B19" t="s">
        <v>14</v>
      </c>
      <c r="G19" s="18">
        <f>+G18*G15</f>
        <v>642.58333333333326</v>
      </c>
      <c r="H19" s="18">
        <f t="shared" ref="H19:M19" si="36">+H18*H15</f>
        <v>642.58333333333326</v>
      </c>
      <c r="I19" s="18">
        <f t="shared" si="36"/>
        <v>642.58333333333326</v>
      </c>
      <c r="J19" s="18">
        <f t="shared" si="36"/>
        <v>642.58333333333326</v>
      </c>
      <c r="K19" s="18">
        <f t="shared" si="36"/>
        <v>642.58333333333326</v>
      </c>
      <c r="L19" s="36">
        <f t="shared" si="36"/>
        <v>642.58333333333326</v>
      </c>
      <c r="M19" s="18">
        <f t="shared" si="36"/>
        <v>642.58333333333326</v>
      </c>
      <c r="N19" s="18">
        <f t="shared" ref="N19" si="37">+N18*N15</f>
        <v>642.58333333333326</v>
      </c>
      <c r="O19" s="18">
        <f t="shared" ref="O19" si="38">+O18*O15</f>
        <v>642.58333333333326</v>
      </c>
      <c r="P19" s="18">
        <f t="shared" ref="P19" si="39">+P18*P15</f>
        <v>642.58333333333326</v>
      </c>
      <c r="Q19" s="18">
        <f t="shared" ref="Q19" si="40">+Q18*Q15</f>
        <v>642.58333333333326</v>
      </c>
      <c r="R19" s="18">
        <f t="shared" ref="R19" si="41">+R18*R15</f>
        <v>642.58333333333326</v>
      </c>
      <c r="S19" s="18">
        <f t="shared" ref="S19" si="42">+S18*S15</f>
        <v>642.58333333333326</v>
      </c>
      <c r="T19" s="18">
        <f t="shared" ref="T19" si="43">+T18*T15</f>
        <v>642.58333333333326</v>
      </c>
      <c r="U19" s="18">
        <f t="shared" ref="U19" si="44">+U18*U15</f>
        <v>642.58333333333326</v>
      </c>
      <c r="V19" s="18">
        <f t="shared" ref="V19" si="45">+V18*V15</f>
        <v>642.58333333333326</v>
      </c>
      <c r="W19" s="18">
        <f t="shared" ref="W19" si="46">+W18*W15</f>
        <v>642.58333333333326</v>
      </c>
      <c r="X19" s="18">
        <f t="shared" ref="X19" si="47">+X18*X15</f>
        <v>642.58333333333326</v>
      </c>
      <c r="Y19" s="18">
        <f t="shared" ref="Y19" si="48">+Y18*Y15</f>
        <v>642.58333333333326</v>
      </c>
      <c r="Z19" s="18">
        <f t="shared" ref="Z19" si="49">+Z18*Z15</f>
        <v>642.58333333333326</v>
      </c>
      <c r="AA19" s="18">
        <f t="shared" ref="AA19" si="50">+AA18*AA15</f>
        <v>642.58333333333326</v>
      </c>
    </row>
    <row r="20" spans="2:27" x14ac:dyDescent="0.35">
      <c r="B20" s="24" t="s">
        <v>16</v>
      </c>
      <c r="G20" s="16">
        <v>0.6</v>
      </c>
      <c r="H20" s="28">
        <f>+G20</f>
        <v>0.6</v>
      </c>
      <c r="I20" s="28">
        <f t="shared" ref="I20:AA21" si="51">+H20</f>
        <v>0.6</v>
      </c>
      <c r="J20" s="28">
        <f t="shared" si="51"/>
        <v>0.6</v>
      </c>
      <c r="K20" s="28">
        <f t="shared" si="51"/>
        <v>0.6</v>
      </c>
      <c r="L20" s="38">
        <f t="shared" si="51"/>
        <v>0.6</v>
      </c>
      <c r="M20" s="28">
        <f t="shared" si="51"/>
        <v>0.6</v>
      </c>
      <c r="N20" s="28">
        <f t="shared" si="51"/>
        <v>0.6</v>
      </c>
      <c r="O20" s="28">
        <f t="shared" si="51"/>
        <v>0.6</v>
      </c>
      <c r="P20" s="28">
        <f t="shared" si="51"/>
        <v>0.6</v>
      </c>
      <c r="Q20" s="28">
        <f t="shared" si="51"/>
        <v>0.6</v>
      </c>
      <c r="R20" s="28">
        <f t="shared" si="51"/>
        <v>0.6</v>
      </c>
      <c r="S20" s="28">
        <f t="shared" si="51"/>
        <v>0.6</v>
      </c>
      <c r="T20" s="28">
        <f t="shared" si="51"/>
        <v>0.6</v>
      </c>
      <c r="U20" s="28">
        <f t="shared" si="51"/>
        <v>0.6</v>
      </c>
      <c r="V20" s="28">
        <f t="shared" si="51"/>
        <v>0.6</v>
      </c>
      <c r="W20" s="28">
        <f t="shared" si="51"/>
        <v>0.6</v>
      </c>
      <c r="X20" s="28">
        <f t="shared" si="51"/>
        <v>0.6</v>
      </c>
      <c r="Y20" s="28">
        <f t="shared" si="51"/>
        <v>0.6</v>
      </c>
      <c r="Z20" s="28">
        <f t="shared" si="51"/>
        <v>0.6</v>
      </c>
      <c r="AA20" s="28">
        <f t="shared" si="51"/>
        <v>0.6</v>
      </c>
    </row>
    <row r="21" spans="2:27" x14ac:dyDescent="0.35">
      <c r="B21" s="24" t="s">
        <v>23</v>
      </c>
      <c r="G21" s="16">
        <v>0.27</v>
      </c>
      <c r="H21" s="28">
        <f>+G21</f>
        <v>0.27</v>
      </c>
      <c r="I21" s="28">
        <f t="shared" si="51"/>
        <v>0.27</v>
      </c>
      <c r="J21" s="28">
        <f t="shared" si="51"/>
        <v>0.27</v>
      </c>
      <c r="K21" s="28">
        <f t="shared" si="51"/>
        <v>0.27</v>
      </c>
      <c r="L21" s="38">
        <f t="shared" si="51"/>
        <v>0.27</v>
      </c>
      <c r="M21" s="28">
        <f t="shared" si="51"/>
        <v>0.27</v>
      </c>
      <c r="N21" s="28">
        <f t="shared" si="51"/>
        <v>0.27</v>
      </c>
      <c r="O21" s="28">
        <f t="shared" si="51"/>
        <v>0.27</v>
      </c>
      <c r="P21" s="28">
        <f t="shared" si="51"/>
        <v>0.27</v>
      </c>
      <c r="Q21" s="28">
        <f t="shared" si="51"/>
        <v>0.27</v>
      </c>
      <c r="R21" s="28">
        <f t="shared" si="51"/>
        <v>0.27</v>
      </c>
      <c r="S21" s="28">
        <f t="shared" si="51"/>
        <v>0.27</v>
      </c>
      <c r="T21" s="28">
        <f t="shared" si="51"/>
        <v>0.27</v>
      </c>
      <c r="U21" s="28">
        <f t="shared" si="51"/>
        <v>0.27</v>
      </c>
      <c r="V21" s="28">
        <f t="shared" si="51"/>
        <v>0.27</v>
      </c>
      <c r="W21" s="28">
        <f t="shared" si="51"/>
        <v>0.27</v>
      </c>
      <c r="X21" s="28">
        <f t="shared" si="51"/>
        <v>0.27</v>
      </c>
      <c r="Y21" s="28">
        <f t="shared" si="51"/>
        <v>0.27</v>
      </c>
      <c r="Z21" s="28">
        <f t="shared" si="51"/>
        <v>0.27</v>
      </c>
      <c r="AA21" s="28">
        <f t="shared" si="51"/>
        <v>0.27</v>
      </c>
    </row>
    <row r="22" spans="2:27" x14ac:dyDescent="0.35">
      <c r="B22" s="24"/>
      <c r="G22" s="16"/>
      <c r="H22" s="19"/>
      <c r="I22" s="19"/>
      <c r="J22" s="19"/>
      <c r="K22" s="19"/>
      <c r="L22" s="37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2:27" x14ac:dyDescent="0.35">
      <c r="B23" s="11" t="s">
        <v>15</v>
      </c>
      <c r="C23" s="11"/>
      <c r="D23" s="11"/>
      <c r="E23" s="11"/>
      <c r="F23" s="11"/>
      <c r="G23" s="23">
        <f t="shared" ref="G23:AA23" si="52">+G20*G19</f>
        <v>385.54999999999995</v>
      </c>
      <c r="H23" s="23">
        <f t="shared" si="52"/>
        <v>385.54999999999995</v>
      </c>
      <c r="I23" s="23">
        <f t="shared" si="52"/>
        <v>385.54999999999995</v>
      </c>
      <c r="J23" s="23">
        <f t="shared" si="52"/>
        <v>385.54999999999995</v>
      </c>
      <c r="K23" s="23">
        <f t="shared" si="52"/>
        <v>385.54999999999995</v>
      </c>
      <c r="L23" s="39">
        <f t="shared" si="52"/>
        <v>385.54999999999995</v>
      </c>
      <c r="M23" s="23">
        <f t="shared" si="52"/>
        <v>385.54999999999995</v>
      </c>
      <c r="N23" s="23">
        <f t="shared" si="52"/>
        <v>385.54999999999995</v>
      </c>
      <c r="O23" s="23">
        <f t="shared" si="52"/>
        <v>385.54999999999995</v>
      </c>
      <c r="P23" s="23">
        <f t="shared" si="52"/>
        <v>385.54999999999995</v>
      </c>
      <c r="Q23" s="23">
        <f t="shared" si="52"/>
        <v>385.54999999999995</v>
      </c>
      <c r="R23" s="23">
        <f t="shared" si="52"/>
        <v>385.54999999999995</v>
      </c>
      <c r="S23" s="23">
        <f t="shared" si="52"/>
        <v>385.54999999999995</v>
      </c>
      <c r="T23" s="23">
        <f t="shared" si="52"/>
        <v>385.54999999999995</v>
      </c>
      <c r="U23" s="23">
        <f t="shared" si="52"/>
        <v>385.54999999999995</v>
      </c>
      <c r="V23" s="23">
        <f t="shared" si="52"/>
        <v>385.54999999999995</v>
      </c>
      <c r="W23" s="23">
        <f t="shared" si="52"/>
        <v>385.54999999999995</v>
      </c>
      <c r="X23" s="23">
        <f t="shared" si="52"/>
        <v>385.54999999999995</v>
      </c>
      <c r="Y23" s="23">
        <f t="shared" si="52"/>
        <v>385.54999999999995</v>
      </c>
      <c r="Z23" s="23">
        <f t="shared" si="52"/>
        <v>385.54999999999995</v>
      </c>
      <c r="AA23" s="23">
        <f t="shared" si="52"/>
        <v>385.54999999999995</v>
      </c>
    </row>
    <row r="24" spans="2:27" x14ac:dyDescent="0.35">
      <c r="B24" s="24" t="s">
        <v>17</v>
      </c>
      <c r="C24" s="11"/>
      <c r="D24" s="11"/>
      <c r="E24" s="11"/>
      <c r="F24" s="11"/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40">
        <v>0</v>
      </c>
      <c r="M24" s="29">
        <f>+N31*0.583333333333333</f>
        <v>0.13690619714658042</v>
      </c>
      <c r="N24" s="29">
        <f>+O31</f>
        <v>0.58087587352321302</v>
      </c>
      <c r="O24" s="27">
        <f>+AVERAGE(N24,P24)</f>
        <v>0.74043793676160652</v>
      </c>
      <c r="P24" s="16">
        <v>0.9</v>
      </c>
      <c r="Q24" s="17">
        <f>+P24</f>
        <v>0.9</v>
      </c>
      <c r="R24" s="17">
        <f>+Q24</f>
        <v>0.9</v>
      </c>
      <c r="S24" s="17">
        <f>+R24</f>
        <v>0.9</v>
      </c>
      <c r="T24" s="17">
        <f t="shared" ref="T24:AA24" si="53">+S24</f>
        <v>0.9</v>
      </c>
      <c r="U24" s="17">
        <f t="shared" si="53"/>
        <v>0.9</v>
      </c>
      <c r="V24" s="17">
        <f t="shared" si="53"/>
        <v>0.9</v>
      </c>
      <c r="W24" s="17">
        <f t="shared" si="53"/>
        <v>0.9</v>
      </c>
      <c r="X24" s="17">
        <f t="shared" si="53"/>
        <v>0.9</v>
      </c>
      <c r="Y24" s="17">
        <f t="shared" si="53"/>
        <v>0.9</v>
      </c>
      <c r="Z24" s="17">
        <f t="shared" si="53"/>
        <v>0.9</v>
      </c>
      <c r="AA24" s="17">
        <f t="shared" si="53"/>
        <v>0.9</v>
      </c>
    </row>
    <row r="25" spans="2:27" x14ac:dyDescent="0.35">
      <c r="B25" s="24"/>
      <c r="C25" s="11"/>
      <c r="D25" s="11"/>
      <c r="E25" s="11"/>
      <c r="F25" s="11"/>
      <c r="G25" s="16"/>
      <c r="H25" s="16"/>
      <c r="I25" s="16"/>
      <c r="J25" s="16"/>
      <c r="K25" s="16"/>
      <c r="L25" s="40"/>
      <c r="M25" s="29"/>
      <c r="N25" s="17"/>
      <c r="O25" s="17"/>
      <c r="P25" s="17"/>
      <c r="Q25" s="17"/>
      <c r="R25" s="16"/>
      <c r="S25" s="17"/>
      <c r="T25" s="17"/>
      <c r="U25" s="17"/>
      <c r="V25" s="17"/>
      <c r="W25" s="17"/>
      <c r="X25" s="17"/>
      <c r="Y25" s="17"/>
      <c r="Z25" s="17"/>
      <c r="AA25" s="17"/>
    </row>
    <row r="26" spans="2:27" x14ac:dyDescent="0.35">
      <c r="B26" s="12" t="s">
        <v>95</v>
      </c>
      <c r="C26" s="11"/>
      <c r="D26" s="11"/>
      <c r="E26" s="11"/>
      <c r="F26" s="11"/>
      <c r="G26" s="16"/>
      <c r="H26" s="16"/>
      <c r="I26" s="16"/>
      <c r="J26" s="16"/>
      <c r="K26" s="16"/>
      <c r="L26" s="40"/>
      <c r="M26" s="29"/>
      <c r="N26" s="17"/>
      <c r="O26" s="17"/>
      <c r="P26" s="17"/>
      <c r="Q26" s="17"/>
      <c r="R26" s="16"/>
      <c r="S26" s="17"/>
      <c r="T26" s="17"/>
      <c r="U26" s="17"/>
      <c r="V26" s="17"/>
      <c r="W26" s="17"/>
      <c r="X26" s="17"/>
      <c r="Y26" s="17"/>
      <c r="Z26" s="17"/>
      <c r="AA26" s="17"/>
    </row>
    <row r="27" spans="2:27" x14ac:dyDescent="0.35">
      <c r="B27" s="24" t="s">
        <v>94</v>
      </c>
      <c r="C27" s="11"/>
      <c r="D27" s="11"/>
      <c r="E27" s="11"/>
      <c r="F27" s="11"/>
      <c r="G27" s="16"/>
      <c r="H27" s="16"/>
      <c r="I27" s="16"/>
      <c r="J27" s="16"/>
      <c r="K27" s="16"/>
      <c r="L27" s="40"/>
      <c r="M27" s="49">
        <v>4.5999999999999996</v>
      </c>
      <c r="N27" s="49">
        <v>883.7</v>
      </c>
      <c r="O27" s="49">
        <v>1724.2</v>
      </c>
      <c r="P27" s="17"/>
      <c r="Q27" s="17"/>
      <c r="R27" s="16"/>
      <c r="S27" s="17"/>
      <c r="T27" s="17"/>
      <c r="U27" s="17"/>
      <c r="V27" s="17"/>
      <c r="W27" s="17"/>
      <c r="X27" s="17"/>
      <c r="Y27" s="17"/>
      <c r="Z27" s="17"/>
      <c r="AA27" s="17"/>
    </row>
    <row r="28" spans="2:27" x14ac:dyDescent="0.35">
      <c r="B28" s="24" t="s">
        <v>63</v>
      </c>
      <c r="C28" s="11"/>
      <c r="D28" s="11"/>
      <c r="E28" s="11"/>
      <c r="F28" s="11"/>
      <c r="G28" s="16"/>
      <c r="H28" s="16"/>
      <c r="I28" s="16"/>
      <c r="J28" s="16"/>
      <c r="K28" s="16"/>
      <c r="L28" s="40"/>
      <c r="M28" s="49">
        <v>0.75</v>
      </c>
      <c r="N28" s="2">
        <f t="shared" ref="N28:O29" si="54">+M28</f>
        <v>0.75</v>
      </c>
      <c r="O28" s="2">
        <f t="shared" si="54"/>
        <v>0.75</v>
      </c>
      <c r="P28" s="17"/>
      <c r="Q28" s="17"/>
      <c r="R28" s="16"/>
      <c r="S28" s="17"/>
      <c r="T28" s="17"/>
      <c r="U28" s="17"/>
      <c r="V28" s="17"/>
      <c r="W28" s="17"/>
      <c r="X28" s="17"/>
      <c r="Y28" s="17"/>
      <c r="Z28" s="17"/>
      <c r="AA28" s="17"/>
    </row>
    <row r="29" spans="2:27" x14ac:dyDescent="0.35">
      <c r="B29" s="24" t="s">
        <v>64</v>
      </c>
      <c r="C29" s="11"/>
      <c r="D29" s="11"/>
      <c r="E29" s="11"/>
      <c r="F29" s="11"/>
      <c r="G29" s="16"/>
      <c r="H29" s="16"/>
      <c r="I29" s="16"/>
      <c r="J29" s="16"/>
      <c r="K29" s="16"/>
      <c r="L29" s="40"/>
      <c r="M29" s="49">
        <v>0.375</v>
      </c>
      <c r="N29" s="2">
        <f t="shared" si="54"/>
        <v>0.375</v>
      </c>
      <c r="O29" s="2">
        <f t="shared" si="54"/>
        <v>0.375</v>
      </c>
      <c r="P29" s="17"/>
      <c r="Q29" s="17"/>
      <c r="R29" s="16"/>
      <c r="S29" s="17"/>
      <c r="T29" s="17"/>
      <c r="U29" s="17"/>
      <c r="V29" s="17"/>
      <c r="W29" s="17"/>
      <c r="X29" s="17"/>
      <c r="Y29" s="17"/>
      <c r="Z29" s="17"/>
      <c r="AA29" s="17"/>
    </row>
    <row r="30" spans="2:27" x14ac:dyDescent="0.35">
      <c r="B30" s="24" t="s">
        <v>96</v>
      </c>
      <c r="C30" s="11"/>
      <c r="D30" s="11"/>
      <c r="E30" s="11"/>
      <c r="F30" s="11"/>
      <c r="G30" s="16"/>
      <c r="H30" s="16"/>
      <c r="I30" s="16"/>
      <c r="J30" s="16"/>
      <c r="K30" s="16"/>
      <c r="L30" s="40"/>
      <c r="M30" s="50">
        <f>+M27/M28</f>
        <v>6.1333333333333329</v>
      </c>
      <c r="N30" s="50">
        <f>+M30+(N27-N29*M30)/N28</f>
        <v>1181.3333333333335</v>
      </c>
      <c r="O30" s="50">
        <f>+N30+(O27-O29*N30)/O28</f>
        <v>2889.6000000000004</v>
      </c>
      <c r="P30" s="17"/>
      <c r="Q30" s="17"/>
      <c r="R30" s="16"/>
      <c r="S30" s="17"/>
      <c r="T30" s="17"/>
      <c r="U30" s="17"/>
      <c r="V30" s="17"/>
      <c r="W30" s="17"/>
      <c r="X30" s="17"/>
      <c r="Y30" s="17"/>
      <c r="Z30" s="17"/>
      <c r="AA30" s="17"/>
    </row>
    <row r="31" spans="2:27" x14ac:dyDescent="0.35">
      <c r="B31" s="24" t="s">
        <v>65</v>
      </c>
      <c r="C31" s="11"/>
      <c r="D31" s="11"/>
      <c r="E31" s="11"/>
      <c r="F31" s="11"/>
      <c r="G31" s="16"/>
      <c r="H31" s="16"/>
      <c r="I31" s="16"/>
      <c r="J31" s="16"/>
      <c r="K31" s="16"/>
      <c r="L31" s="40"/>
      <c r="M31" s="17">
        <f>+M30/(AVERAGE(M33,M37)+M23)</f>
        <v>1.2036877659411527E-3</v>
      </c>
      <c r="N31" s="17">
        <f>+N30/(AVERAGE(N33,N37)+N23)</f>
        <v>0.23469633796556655</v>
      </c>
      <c r="O31" s="17">
        <f>+O30/(AVERAGE(O33,O37)+O23)</f>
        <v>0.58087587352321302</v>
      </c>
      <c r="P31" s="17"/>
      <c r="Q31" s="17"/>
      <c r="R31" s="16"/>
      <c r="S31" s="17"/>
      <c r="T31" s="17"/>
      <c r="U31" s="17"/>
      <c r="V31" s="17"/>
      <c r="W31" s="17"/>
      <c r="X31" s="17"/>
      <c r="Y31" s="17"/>
      <c r="Z31" s="17"/>
      <c r="AA31" s="17"/>
    </row>
    <row r="32" spans="2:27" x14ac:dyDescent="0.35">
      <c r="B32" s="24"/>
      <c r="C32" s="11"/>
      <c r="D32" s="11"/>
      <c r="E32" s="11"/>
      <c r="F32" s="11"/>
      <c r="G32" s="16"/>
      <c r="H32" s="16"/>
      <c r="I32" s="16"/>
      <c r="J32" s="16"/>
      <c r="K32" s="16"/>
      <c r="L32" s="40"/>
      <c r="M32" s="16"/>
      <c r="N32" s="17"/>
      <c r="O32" s="17"/>
      <c r="P32" s="17"/>
      <c r="Q32" s="17"/>
      <c r="R32" s="16"/>
      <c r="S32" s="17"/>
      <c r="T32" s="17"/>
      <c r="U32" s="17"/>
      <c r="V32" s="17"/>
      <c r="W32" s="17"/>
      <c r="X32" s="17"/>
      <c r="Y32" s="17"/>
      <c r="Z32" s="17"/>
      <c r="AA32" s="17"/>
    </row>
    <row r="33" spans="2:27" x14ac:dyDescent="0.35">
      <c r="B33" s="11" t="s">
        <v>21</v>
      </c>
      <c r="C33" s="11"/>
      <c r="D33" s="11"/>
      <c r="E33" s="11"/>
      <c r="F33" s="11"/>
      <c r="G33" s="13">
        <f>10000*0.52</f>
        <v>5200</v>
      </c>
      <c r="H33" s="23">
        <f>+G37</f>
        <v>5113.4975000000004</v>
      </c>
      <c r="I33" s="23">
        <f t="shared" ref="I33:AA33" si="55">+H37</f>
        <v>5031.3201250000011</v>
      </c>
      <c r="J33" s="23">
        <f t="shared" si="55"/>
        <v>4953.2516187500014</v>
      </c>
      <c r="K33" s="23">
        <f t="shared" si="55"/>
        <v>4879.0865378125018</v>
      </c>
      <c r="L33" s="39">
        <f t="shared" si="55"/>
        <v>4808.6297109218767</v>
      </c>
      <c r="M33" s="23">
        <f t="shared" si="55"/>
        <v>4741.6957253757837</v>
      </c>
      <c r="N33" s="23">
        <f t="shared" si="55"/>
        <v>4678.1084391069953</v>
      </c>
      <c r="O33" s="23">
        <f t="shared" si="55"/>
        <v>4617.7005171516457</v>
      </c>
      <c r="P33" s="23">
        <f t="shared" si="55"/>
        <v>4560.312991294064</v>
      </c>
      <c r="Q33" s="23">
        <f t="shared" si="55"/>
        <v>4505.794841729361</v>
      </c>
      <c r="R33" s="23">
        <f t="shared" si="55"/>
        <v>4454.0025996428931</v>
      </c>
      <c r="S33" s="23">
        <f t="shared" si="55"/>
        <v>4404.7999696607485</v>
      </c>
      <c r="T33" s="23">
        <f t="shared" si="55"/>
        <v>4358.0574711777117</v>
      </c>
      <c r="U33" s="23">
        <f t="shared" si="55"/>
        <v>4313.6520976188267</v>
      </c>
      <c r="V33" s="23">
        <f t="shared" si="55"/>
        <v>4271.4669927378854</v>
      </c>
      <c r="W33" s="23">
        <f t="shared" si="55"/>
        <v>4231.3911431009919</v>
      </c>
      <c r="X33" s="23">
        <f t="shared" si="55"/>
        <v>4193.3190859459428</v>
      </c>
      <c r="Y33" s="23">
        <f t="shared" si="55"/>
        <v>4157.1506316486457</v>
      </c>
      <c r="Z33" s="23">
        <f t="shared" si="55"/>
        <v>4122.7906000662142</v>
      </c>
      <c r="AA33" s="23">
        <f t="shared" si="55"/>
        <v>4090.1485700629037</v>
      </c>
    </row>
    <row r="34" spans="2:27" x14ac:dyDescent="0.35">
      <c r="B34" s="11" t="s">
        <v>22</v>
      </c>
      <c r="C34" s="11"/>
      <c r="D34" s="11"/>
      <c r="E34" s="11"/>
      <c r="F34" s="11"/>
      <c r="G34" s="23">
        <f t="shared" ref="G34:AA34" si="56">+G21*G19</f>
        <v>173.4975</v>
      </c>
      <c r="H34" s="23">
        <f t="shared" si="56"/>
        <v>173.4975</v>
      </c>
      <c r="I34" s="23">
        <f t="shared" si="56"/>
        <v>173.4975</v>
      </c>
      <c r="J34" s="23">
        <f t="shared" si="56"/>
        <v>173.4975</v>
      </c>
      <c r="K34" s="23">
        <f t="shared" si="56"/>
        <v>173.4975</v>
      </c>
      <c r="L34" s="39">
        <f t="shared" si="56"/>
        <v>173.4975</v>
      </c>
      <c r="M34" s="23">
        <f t="shared" si="56"/>
        <v>173.4975</v>
      </c>
      <c r="N34" s="23">
        <f t="shared" si="56"/>
        <v>173.4975</v>
      </c>
      <c r="O34" s="23">
        <f t="shared" si="56"/>
        <v>173.4975</v>
      </c>
      <c r="P34" s="23">
        <f t="shared" si="56"/>
        <v>173.4975</v>
      </c>
      <c r="Q34" s="23">
        <f t="shared" si="56"/>
        <v>173.4975</v>
      </c>
      <c r="R34" s="23">
        <f t="shared" si="56"/>
        <v>173.4975</v>
      </c>
      <c r="S34" s="23">
        <f t="shared" si="56"/>
        <v>173.4975</v>
      </c>
      <c r="T34" s="23">
        <f t="shared" si="56"/>
        <v>173.4975</v>
      </c>
      <c r="U34" s="23">
        <f t="shared" si="56"/>
        <v>173.4975</v>
      </c>
      <c r="V34" s="23">
        <f t="shared" si="56"/>
        <v>173.4975</v>
      </c>
      <c r="W34" s="23">
        <f t="shared" si="56"/>
        <v>173.4975</v>
      </c>
      <c r="X34" s="23">
        <f t="shared" si="56"/>
        <v>173.4975</v>
      </c>
      <c r="Y34" s="23">
        <f t="shared" si="56"/>
        <v>173.4975</v>
      </c>
      <c r="Z34" s="23">
        <f t="shared" si="56"/>
        <v>173.4975</v>
      </c>
      <c r="AA34" s="23">
        <f t="shared" si="56"/>
        <v>173.4975</v>
      </c>
    </row>
    <row r="35" spans="2:27" x14ac:dyDescent="0.35">
      <c r="B35" s="24" t="s">
        <v>28</v>
      </c>
      <c r="C35" s="11"/>
      <c r="D35" s="11"/>
      <c r="E35" s="11"/>
      <c r="F35" s="11"/>
      <c r="G35" s="16">
        <f>5%</f>
        <v>0.05</v>
      </c>
      <c r="H35" s="28">
        <f>+G35</f>
        <v>0.05</v>
      </c>
      <c r="I35" s="28">
        <f t="shared" ref="I35:AA35" si="57">+H35</f>
        <v>0.05</v>
      </c>
      <c r="J35" s="28">
        <f t="shared" si="57"/>
        <v>0.05</v>
      </c>
      <c r="K35" s="28">
        <f t="shared" si="57"/>
        <v>0.05</v>
      </c>
      <c r="L35" s="38">
        <f t="shared" si="57"/>
        <v>0.05</v>
      </c>
      <c r="M35" s="28">
        <f t="shared" si="57"/>
        <v>0.05</v>
      </c>
      <c r="N35" s="28">
        <f t="shared" si="57"/>
        <v>0.05</v>
      </c>
      <c r="O35" s="28">
        <f t="shared" si="57"/>
        <v>0.05</v>
      </c>
      <c r="P35" s="28">
        <f t="shared" si="57"/>
        <v>0.05</v>
      </c>
      <c r="Q35" s="28">
        <f t="shared" si="57"/>
        <v>0.05</v>
      </c>
      <c r="R35" s="28">
        <f t="shared" si="57"/>
        <v>0.05</v>
      </c>
      <c r="S35" s="28">
        <f t="shared" si="57"/>
        <v>0.05</v>
      </c>
      <c r="T35" s="28">
        <f t="shared" si="57"/>
        <v>0.05</v>
      </c>
      <c r="U35" s="28">
        <f t="shared" si="57"/>
        <v>0.05</v>
      </c>
      <c r="V35" s="28">
        <f t="shared" si="57"/>
        <v>0.05</v>
      </c>
      <c r="W35" s="28">
        <f t="shared" si="57"/>
        <v>0.05</v>
      </c>
      <c r="X35" s="28">
        <f t="shared" si="57"/>
        <v>0.05</v>
      </c>
      <c r="Y35" s="28">
        <f t="shared" si="57"/>
        <v>0.05</v>
      </c>
      <c r="Z35" s="28">
        <f t="shared" si="57"/>
        <v>0.05</v>
      </c>
      <c r="AA35" s="28">
        <f t="shared" si="57"/>
        <v>0.05</v>
      </c>
    </row>
    <row r="36" spans="2:27" x14ac:dyDescent="0.35">
      <c r="B36" s="24" t="s">
        <v>27</v>
      </c>
      <c r="C36" s="11"/>
      <c r="D36" s="11"/>
      <c r="E36" s="11"/>
      <c r="F36" s="11"/>
      <c r="G36" s="23">
        <f>+G35*G33</f>
        <v>260</v>
      </c>
      <c r="H36" s="23">
        <f>+H35*H33</f>
        <v>255.67487500000004</v>
      </c>
      <c r="I36" s="23">
        <f t="shared" ref="I36:AA36" si="58">+I35*I33</f>
        <v>251.56600625000007</v>
      </c>
      <c r="J36" s="23">
        <f t="shared" si="58"/>
        <v>247.66258093750008</v>
      </c>
      <c r="K36" s="23">
        <f t="shared" si="58"/>
        <v>243.95432689062511</v>
      </c>
      <c r="L36" s="39">
        <f t="shared" si="58"/>
        <v>240.43148554609385</v>
      </c>
      <c r="M36" s="23">
        <f t="shared" si="58"/>
        <v>237.0847862687892</v>
      </c>
      <c r="N36" s="23">
        <f t="shared" si="58"/>
        <v>233.90542195534977</v>
      </c>
      <c r="O36" s="23">
        <f t="shared" si="58"/>
        <v>230.88502585758229</v>
      </c>
      <c r="P36" s="23">
        <f t="shared" si="58"/>
        <v>228.01564956470321</v>
      </c>
      <c r="Q36" s="23">
        <f t="shared" si="58"/>
        <v>225.28974208646807</v>
      </c>
      <c r="R36" s="23">
        <f t="shared" si="58"/>
        <v>222.70012998214466</v>
      </c>
      <c r="S36" s="23">
        <f t="shared" si="58"/>
        <v>220.23999848303743</v>
      </c>
      <c r="T36" s="23">
        <f t="shared" si="58"/>
        <v>217.9028735588856</v>
      </c>
      <c r="U36" s="23">
        <f t="shared" si="58"/>
        <v>215.68260488094134</v>
      </c>
      <c r="V36" s="23">
        <f t="shared" si="58"/>
        <v>213.57334963689428</v>
      </c>
      <c r="W36" s="23">
        <f t="shared" si="58"/>
        <v>211.56955715504961</v>
      </c>
      <c r="X36" s="23">
        <f t="shared" si="58"/>
        <v>209.66595429729716</v>
      </c>
      <c r="Y36" s="23">
        <f t="shared" si="58"/>
        <v>207.8575315824323</v>
      </c>
      <c r="Z36" s="23">
        <f t="shared" si="58"/>
        <v>206.13953000331071</v>
      </c>
      <c r="AA36" s="23">
        <f t="shared" si="58"/>
        <v>204.50742850314521</v>
      </c>
    </row>
    <row r="37" spans="2:27" x14ac:dyDescent="0.35">
      <c r="B37" s="11" t="s">
        <v>29</v>
      </c>
      <c r="C37" s="11"/>
      <c r="D37" s="11"/>
      <c r="E37" s="11"/>
      <c r="F37" s="11"/>
      <c r="G37" s="23">
        <f>+G33+G34-G36</f>
        <v>5113.4975000000004</v>
      </c>
      <c r="H37" s="23">
        <f>+H33+H34-H36</f>
        <v>5031.3201250000011</v>
      </c>
      <c r="I37" s="23">
        <f t="shared" ref="I37:AA37" si="59">+I33+I34-I36</f>
        <v>4953.2516187500014</v>
      </c>
      <c r="J37" s="23">
        <f t="shared" si="59"/>
        <v>4879.0865378125018</v>
      </c>
      <c r="K37" s="23">
        <f t="shared" si="59"/>
        <v>4808.6297109218767</v>
      </c>
      <c r="L37" s="39">
        <f t="shared" si="59"/>
        <v>4741.6957253757837</v>
      </c>
      <c r="M37" s="23">
        <f t="shared" si="59"/>
        <v>4678.1084391069953</v>
      </c>
      <c r="N37" s="23">
        <f t="shared" si="59"/>
        <v>4617.7005171516457</v>
      </c>
      <c r="O37" s="23">
        <f t="shared" si="59"/>
        <v>4560.312991294064</v>
      </c>
      <c r="P37" s="23">
        <f t="shared" si="59"/>
        <v>4505.794841729361</v>
      </c>
      <c r="Q37" s="23">
        <f t="shared" si="59"/>
        <v>4454.0025996428931</v>
      </c>
      <c r="R37" s="23">
        <f t="shared" si="59"/>
        <v>4404.7999696607485</v>
      </c>
      <c r="S37" s="23">
        <f t="shared" si="59"/>
        <v>4358.0574711777117</v>
      </c>
      <c r="T37" s="23">
        <f t="shared" si="59"/>
        <v>4313.6520976188267</v>
      </c>
      <c r="U37" s="23">
        <f t="shared" si="59"/>
        <v>4271.4669927378854</v>
      </c>
      <c r="V37" s="23">
        <f t="shared" si="59"/>
        <v>4231.3911431009919</v>
      </c>
      <c r="W37" s="23">
        <f t="shared" si="59"/>
        <v>4193.3190859459428</v>
      </c>
      <c r="X37" s="23">
        <f t="shared" si="59"/>
        <v>4157.1506316486457</v>
      </c>
      <c r="Y37" s="23">
        <f t="shared" si="59"/>
        <v>4122.7906000662142</v>
      </c>
      <c r="Z37" s="23">
        <f t="shared" si="59"/>
        <v>4090.1485700629037</v>
      </c>
      <c r="AA37" s="23">
        <f t="shared" si="59"/>
        <v>4059.138641559759</v>
      </c>
    </row>
    <row r="38" spans="2:27" x14ac:dyDescent="0.35">
      <c r="B38" s="24" t="s">
        <v>17</v>
      </c>
      <c r="C38" s="11"/>
      <c r="D38" s="11"/>
      <c r="E38" s="11"/>
      <c r="F38" s="11"/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40">
        <v>0</v>
      </c>
      <c r="M38" s="16">
        <v>0</v>
      </c>
      <c r="N38" s="29">
        <f>+Q38/5.5*0.5</f>
        <v>2.7272727272727271E-2</v>
      </c>
      <c r="O38" s="17">
        <f>+($Q$38)/5.5+N38</f>
        <v>8.1818181818181818E-2</v>
      </c>
      <c r="P38" s="17">
        <f>+($Q$38)/5.5+O38</f>
        <v>0.13636363636363635</v>
      </c>
      <c r="Q38" s="29">
        <f>+P24/3</f>
        <v>0.3</v>
      </c>
      <c r="R38" s="17">
        <f t="shared" ref="R38:AA38" si="60">+Q38</f>
        <v>0.3</v>
      </c>
      <c r="S38" s="17">
        <f t="shared" si="60"/>
        <v>0.3</v>
      </c>
      <c r="T38" s="17">
        <f t="shared" si="60"/>
        <v>0.3</v>
      </c>
      <c r="U38" s="17">
        <f t="shared" si="60"/>
        <v>0.3</v>
      </c>
      <c r="V38" s="17">
        <f t="shared" si="60"/>
        <v>0.3</v>
      </c>
      <c r="W38" s="17">
        <f t="shared" si="60"/>
        <v>0.3</v>
      </c>
      <c r="X38" s="17">
        <f t="shared" si="60"/>
        <v>0.3</v>
      </c>
      <c r="Y38" s="17">
        <f t="shared" si="60"/>
        <v>0.3</v>
      </c>
      <c r="Z38" s="17">
        <f t="shared" si="60"/>
        <v>0.3</v>
      </c>
      <c r="AA38" s="17">
        <f t="shared" si="60"/>
        <v>0.3</v>
      </c>
    </row>
    <row r="39" spans="2:27" x14ac:dyDescent="0.35">
      <c r="B39" t="s">
        <v>31</v>
      </c>
      <c r="C39" s="11"/>
      <c r="D39" s="11"/>
      <c r="E39" s="11"/>
      <c r="F39" s="11"/>
      <c r="G39" s="23">
        <f>+G38*F40</f>
        <v>0</v>
      </c>
      <c r="H39" s="23">
        <f t="shared" ref="H39:AA39" si="61">+H38*G40</f>
        <v>0</v>
      </c>
      <c r="I39" s="23">
        <f t="shared" si="61"/>
        <v>0</v>
      </c>
      <c r="J39" s="23">
        <f t="shared" si="61"/>
        <v>0</v>
      </c>
      <c r="K39" s="23">
        <f t="shared" si="61"/>
        <v>0</v>
      </c>
      <c r="L39" s="39">
        <f t="shared" si="61"/>
        <v>0</v>
      </c>
      <c r="M39" s="23">
        <f t="shared" si="61"/>
        <v>0</v>
      </c>
      <c r="N39" s="23">
        <f t="shared" si="61"/>
        <v>127.58477561200895</v>
      </c>
      <c r="O39" s="23">
        <f t="shared" si="61"/>
        <v>367.37310612597025</v>
      </c>
      <c r="P39" s="23">
        <f t="shared" si="61"/>
        <v>554.36660584855701</v>
      </c>
      <c r="Q39" s="23">
        <f t="shared" si="61"/>
        <v>1036.9411062428474</v>
      </c>
      <c r="R39" s="23">
        <f t="shared" si="61"/>
        <v>710.32110174405273</v>
      </c>
      <c r="S39" s="23">
        <f t="shared" si="61"/>
        <v>482.46398222619359</v>
      </c>
      <c r="T39" s="23">
        <f t="shared" si="61"/>
        <v>323.70203801342456</v>
      </c>
      <c r="U39" s="23">
        <f t="shared" si="61"/>
        <v>213.26981454173173</v>
      </c>
      <c r="V39" s="23">
        <f t="shared" si="61"/>
        <v>136.63333871492986</v>
      </c>
      <c r="W39" s="23">
        <f t="shared" si="61"/>
        <v>83.620582209382874</v>
      </c>
      <c r="X39" s="23">
        <f t="shared" si="61"/>
        <v>47.112790400053242</v>
      </c>
      <c r="Y39" s="23">
        <f t="shared" si="61"/>
        <v>22.128416990848155</v>
      </c>
      <c r="Z39" s="23">
        <f t="shared" si="61"/>
        <v>5.1818824188642791</v>
      </c>
      <c r="AA39" s="23">
        <f t="shared" si="61"/>
        <v>-6.1652913077880838</v>
      </c>
    </row>
    <row r="40" spans="2:27" x14ac:dyDescent="0.35">
      <c r="B40" t="s">
        <v>32</v>
      </c>
      <c r="C40" s="11"/>
      <c r="D40" s="11"/>
      <c r="E40" s="11"/>
      <c r="F40" s="11"/>
      <c r="G40" s="23">
        <f>+G37-SUM($G39:G39)</f>
        <v>5113.4975000000004</v>
      </c>
      <c r="H40" s="23">
        <f>+H37-SUM($G39:H39)</f>
        <v>5031.3201250000011</v>
      </c>
      <c r="I40" s="23">
        <f>+I37-SUM($G39:I39)</f>
        <v>4953.2516187500014</v>
      </c>
      <c r="J40" s="23">
        <f>+J37-SUM($G39:J39)</f>
        <v>4879.0865378125018</v>
      </c>
      <c r="K40" s="23">
        <f>+K37-SUM($G39:K39)</f>
        <v>4808.6297109218767</v>
      </c>
      <c r="L40" s="39">
        <f>+L37-SUM($G39:L39)</f>
        <v>4741.6957253757837</v>
      </c>
      <c r="M40" s="23">
        <f>+M37-SUM($G39:M39)</f>
        <v>4678.1084391069953</v>
      </c>
      <c r="N40" s="23">
        <f>+N37-SUM($G39:N39)</f>
        <v>4490.1157415396365</v>
      </c>
      <c r="O40" s="23">
        <f>+O37-SUM($G39:O39)</f>
        <v>4065.3551095560847</v>
      </c>
      <c r="P40" s="23">
        <f>+P37-SUM($G39:P39)</f>
        <v>3456.4703541428248</v>
      </c>
      <c r="Q40" s="23">
        <f>+Q37-SUM($G39:Q39)</f>
        <v>2367.7370058135093</v>
      </c>
      <c r="R40" s="23">
        <f>+R37-SUM($G39:R39)</f>
        <v>1608.2132740873121</v>
      </c>
      <c r="S40" s="23">
        <f>+S37-SUM($G39:S39)</f>
        <v>1079.006793378082</v>
      </c>
      <c r="T40" s="23">
        <f>+T37-SUM($G39:T39)</f>
        <v>710.89938180577246</v>
      </c>
      <c r="U40" s="23">
        <f>+U37-SUM($G39:U39)</f>
        <v>455.44446238309956</v>
      </c>
      <c r="V40" s="23">
        <f>+V37-SUM($G39:V39)</f>
        <v>278.73527403127628</v>
      </c>
      <c r="W40" s="23">
        <f>+W37-SUM($G39:W39)</f>
        <v>157.04263466684415</v>
      </c>
      <c r="X40" s="23">
        <f>+X37-SUM($G39:X39)</f>
        <v>73.761389969493848</v>
      </c>
      <c r="Y40" s="23">
        <f>+Y37-SUM($G39:Y39)</f>
        <v>17.272941396214264</v>
      </c>
      <c r="Z40" s="23">
        <f>+Z37-SUM($G39:Z39)</f>
        <v>-20.55097102596028</v>
      </c>
      <c r="AA40" s="23">
        <f>+AA37-SUM($G39:AA39)</f>
        <v>-45.395608221317161</v>
      </c>
    </row>
    <row r="41" spans="2:27" x14ac:dyDescent="0.35">
      <c r="B41" s="24"/>
      <c r="C41" s="11"/>
      <c r="D41" s="11"/>
      <c r="E41" s="11"/>
      <c r="F41" s="11"/>
      <c r="G41" s="16"/>
      <c r="H41" s="16"/>
      <c r="I41" s="16"/>
      <c r="J41" s="16"/>
      <c r="K41" s="16"/>
      <c r="L41" s="40"/>
      <c r="M41" s="16"/>
      <c r="N41" s="17"/>
      <c r="O41" s="17"/>
      <c r="P41" s="17"/>
      <c r="Q41" s="17"/>
      <c r="R41" s="16"/>
      <c r="S41" s="17"/>
      <c r="T41" s="17"/>
      <c r="U41" s="17"/>
      <c r="V41" s="17"/>
      <c r="W41" s="17"/>
      <c r="X41" s="17"/>
      <c r="Y41" s="17"/>
      <c r="Z41" s="17"/>
      <c r="AA41" s="17"/>
    </row>
    <row r="42" spans="2:27" x14ac:dyDescent="0.35">
      <c r="B42" t="s">
        <v>30</v>
      </c>
      <c r="C42" s="11"/>
      <c r="D42" s="11"/>
      <c r="E42" s="11"/>
      <c r="F42" s="11"/>
      <c r="G42" s="23">
        <f t="shared" ref="G42:AA42" si="62">+G24*G23</f>
        <v>0</v>
      </c>
      <c r="H42" s="23">
        <f t="shared" si="62"/>
        <v>0</v>
      </c>
      <c r="I42" s="23">
        <f t="shared" si="62"/>
        <v>0</v>
      </c>
      <c r="J42" s="23">
        <f t="shared" si="62"/>
        <v>0</v>
      </c>
      <c r="K42" s="23">
        <f t="shared" si="62"/>
        <v>0</v>
      </c>
      <c r="L42" s="39">
        <f t="shared" si="62"/>
        <v>0</v>
      </c>
      <c r="M42" s="23">
        <f t="shared" si="62"/>
        <v>52.784184309864074</v>
      </c>
      <c r="N42" s="23">
        <f t="shared" si="62"/>
        <v>223.95669303687475</v>
      </c>
      <c r="O42" s="23">
        <f t="shared" si="62"/>
        <v>285.47584651843738</v>
      </c>
      <c r="P42" s="23">
        <f t="shared" si="62"/>
        <v>346.99499999999995</v>
      </c>
      <c r="Q42" s="23">
        <f t="shared" si="62"/>
        <v>346.99499999999995</v>
      </c>
      <c r="R42" s="23">
        <f t="shared" si="62"/>
        <v>346.99499999999995</v>
      </c>
      <c r="S42" s="23">
        <f t="shared" si="62"/>
        <v>346.99499999999995</v>
      </c>
      <c r="T42" s="23">
        <f t="shared" si="62"/>
        <v>346.99499999999995</v>
      </c>
      <c r="U42" s="23">
        <f t="shared" si="62"/>
        <v>346.99499999999995</v>
      </c>
      <c r="V42" s="23">
        <f t="shared" si="62"/>
        <v>346.99499999999995</v>
      </c>
      <c r="W42" s="23">
        <f t="shared" si="62"/>
        <v>346.99499999999995</v>
      </c>
      <c r="X42" s="23">
        <f t="shared" si="62"/>
        <v>346.99499999999995</v>
      </c>
      <c r="Y42" s="23">
        <f t="shared" si="62"/>
        <v>346.99499999999995</v>
      </c>
      <c r="Z42" s="23">
        <f t="shared" si="62"/>
        <v>346.99499999999995</v>
      </c>
      <c r="AA42" s="23">
        <f t="shared" si="62"/>
        <v>346.99499999999995</v>
      </c>
    </row>
    <row r="43" spans="2:27" x14ac:dyDescent="0.35">
      <c r="B43" t="s">
        <v>31</v>
      </c>
      <c r="G43" s="18">
        <f t="shared" ref="G43:AA43" si="63">+G39</f>
        <v>0</v>
      </c>
      <c r="H43" s="18">
        <f t="shared" si="63"/>
        <v>0</v>
      </c>
      <c r="I43" s="18">
        <f t="shared" si="63"/>
        <v>0</v>
      </c>
      <c r="J43" s="18">
        <f t="shared" si="63"/>
        <v>0</v>
      </c>
      <c r="K43" s="18">
        <f t="shared" si="63"/>
        <v>0</v>
      </c>
      <c r="L43" s="36">
        <f t="shared" si="63"/>
        <v>0</v>
      </c>
      <c r="M43" s="18">
        <f t="shared" si="63"/>
        <v>0</v>
      </c>
      <c r="N43" s="18">
        <f t="shared" si="63"/>
        <v>127.58477561200895</v>
      </c>
      <c r="O43" s="18">
        <f t="shared" si="63"/>
        <v>367.37310612597025</v>
      </c>
      <c r="P43" s="18">
        <f t="shared" si="63"/>
        <v>554.36660584855701</v>
      </c>
      <c r="Q43" s="18">
        <f t="shared" si="63"/>
        <v>1036.9411062428474</v>
      </c>
      <c r="R43" s="18">
        <f t="shared" si="63"/>
        <v>710.32110174405273</v>
      </c>
      <c r="S43" s="18">
        <f t="shared" si="63"/>
        <v>482.46398222619359</v>
      </c>
      <c r="T43" s="18">
        <f t="shared" si="63"/>
        <v>323.70203801342456</v>
      </c>
      <c r="U43" s="18">
        <f t="shared" si="63"/>
        <v>213.26981454173173</v>
      </c>
      <c r="V43" s="18">
        <f t="shared" si="63"/>
        <v>136.63333871492986</v>
      </c>
      <c r="W43" s="18">
        <f t="shared" si="63"/>
        <v>83.620582209382874</v>
      </c>
      <c r="X43" s="18">
        <f t="shared" si="63"/>
        <v>47.112790400053242</v>
      </c>
      <c r="Y43" s="18">
        <f t="shared" si="63"/>
        <v>22.128416990848155</v>
      </c>
      <c r="Z43" s="18">
        <f t="shared" si="63"/>
        <v>5.1818824188642791</v>
      </c>
      <c r="AA43" s="18">
        <f t="shared" si="63"/>
        <v>-6.1652913077880838</v>
      </c>
    </row>
    <row r="44" spans="2:27" x14ac:dyDescent="0.35">
      <c r="B44" s="10" t="s">
        <v>33</v>
      </c>
      <c r="G44" s="22">
        <f>+G43+G42</f>
        <v>0</v>
      </c>
      <c r="H44" s="22">
        <f t="shared" ref="H44:AA44" si="64">+H43+H42</f>
        <v>0</v>
      </c>
      <c r="I44" s="22">
        <f t="shared" si="64"/>
        <v>0</v>
      </c>
      <c r="J44" s="22">
        <f t="shared" si="64"/>
        <v>0</v>
      </c>
      <c r="K44" s="22">
        <f t="shared" si="64"/>
        <v>0</v>
      </c>
      <c r="L44" s="41">
        <f t="shared" si="64"/>
        <v>0</v>
      </c>
      <c r="M44" s="22">
        <f t="shared" si="64"/>
        <v>52.784184309864074</v>
      </c>
      <c r="N44" s="22">
        <f t="shared" si="64"/>
        <v>351.54146864888372</v>
      </c>
      <c r="O44" s="22">
        <f t="shared" si="64"/>
        <v>652.84895264440763</v>
      </c>
      <c r="P44" s="22">
        <f t="shared" si="64"/>
        <v>901.36160584855702</v>
      </c>
      <c r="Q44" s="22">
        <f t="shared" si="64"/>
        <v>1383.9361062428472</v>
      </c>
      <c r="R44" s="22">
        <f t="shared" si="64"/>
        <v>1057.3161017440527</v>
      </c>
      <c r="S44" s="22">
        <f t="shared" si="64"/>
        <v>829.45898222619348</v>
      </c>
      <c r="T44" s="22">
        <f t="shared" si="64"/>
        <v>670.6970380134245</v>
      </c>
      <c r="U44" s="22">
        <f t="shared" si="64"/>
        <v>560.26481454173165</v>
      </c>
      <c r="V44" s="22">
        <f t="shared" si="64"/>
        <v>483.62833871492978</v>
      </c>
      <c r="W44" s="22">
        <f t="shared" si="64"/>
        <v>430.61558220938281</v>
      </c>
      <c r="X44" s="22">
        <f t="shared" si="64"/>
        <v>394.1077904000532</v>
      </c>
      <c r="Y44" s="22">
        <f t="shared" si="64"/>
        <v>369.12341699084811</v>
      </c>
      <c r="Z44" s="22">
        <f t="shared" si="64"/>
        <v>352.17688241886424</v>
      </c>
      <c r="AA44" s="22">
        <f t="shared" si="64"/>
        <v>340.82970869221185</v>
      </c>
    </row>
    <row r="45" spans="2:27" x14ac:dyDescent="0.35">
      <c r="L45" s="34"/>
    </row>
    <row r="46" spans="2:27" x14ac:dyDescent="0.35">
      <c r="B46" t="s">
        <v>3</v>
      </c>
      <c r="G46" s="30" t="s">
        <v>9</v>
      </c>
      <c r="H46" s="30" t="s">
        <v>9</v>
      </c>
      <c r="I46" s="30" t="s">
        <v>9</v>
      </c>
      <c r="J46" s="30" t="s">
        <v>9</v>
      </c>
      <c r="K46" s="30" t="s">
        <v>9</v>
      </c>
      <c r="L46" s="42" t="s">
        <v>9</v>
      </c>
      <c r="M46" s="7">
        <v>1.25</v>
      </c>
      <c r="N46" s="26">
        <f>+M46*(1+N47)</f>
        <v>1.2749999999999999</v>
      </c>
      <c r="O46" s="26">
        <f t="shared" ref="O46:AA46" si="65">+N46*(1+O47)</f>
        <v>1.3005</v>
      </c>
      <c r="P46" s="26">
        <f t="shared" si="65"/>
        <v>1.3265100000000001</v>
      </c>
      <c r="Q46" s="26">
        <f t="shared" si="65"/>
        <v>1.3530402000000001</v>
      </c>
      <c r="R46" s="26">
        <f t="shared" si="65"/>
        <v>1.3801010040000001</v>
      </c>
      <c r="S46" s="26">
        <f t="shared" si="65"/>
        <v>1.4077030240800001</v>
      </c>
      <c r="T46" s="26">
        <f t="shared" si="65"/>
        <v>1.4358570845616001</v>
      </c>
      <c r="U46" s="26">
        <f t="shared" si="65"/>
        <v>1.4645742262528321</v>
      </c>
      <c r="V46" s="26">
        <f t="shared" si="65"/>
        <v>1.4938657107778888</v>
      </c>
      <c r="W46" s="26">
        <f t="shared" si="65"/>
        <v>1.5237430249934465</v>
      </c>
      <c r="X46" s="26">
        <f t="shared" si="65"/>
        <v>1.5542178854933155</v>
      </c>
      <c r="Y46" s="26">
        <f t="shared" si="65"/>
        <v>1.5853022432031818</v>
      </c>
      <c r="Z46" s="26">
        <f t="shared" si="65"/>
        <v>1.6170082880672454</v>
      </c>
      <c r="AA46" s="26">
        <f t="shared" si="65"/>
        <v>1.6493484538285903</v>
      </c>
    </row>
    <row r="47" spans="2:27" x14ac:dyDescent="0.35">
      <c r="B47" s="24" t="s">
        <v>18</v>
      </c>
      <c r="G47" s="30" t="s">
        <v>9</v>
      </c>
      <c r="H47" s="30" t="s">
        <v>9</v>
      </c>
      <c r="I47" s="30" t="s">
        <v>9</v>
      </c>
      <c r="J47" s="30" t="s">
        <v>9</v>
      </c>
      <c r="K47" s="30" t="s">
        <v>9</v>
      </c>
      <c r="L47" s="42" t="s">
        <v>9</v>
      </c>
      <c r="M47" s="16">
        <v>0.02</v>
      </c>
      <c r="N47" s="17">
        <f>+M47</f>
        <v>0.02</v>
      </c>
      <c r="O47" s="17">
        <f t="shared" ref="O47:AA47" si="66">+N47</f>
        <v>0.02</v>
      </c>
      <c r="P47" s="17">
        <f t="shared" si="66"/>
        <v>0.02</v>
      </c>
      <c r="Q47" s="17">
        <f t="shared" si="66"/>
        <v>0.02</v>
      </c>
      <c r="R47" s="17">
        <f t="shared" si="66"/>
        <v>0.02</v>
      </c>
      <c r="S47" s="17">
        <f t="shared" si="66"/>
        <v>0.02</v>
      </c>
      <c r="T47" s="17">
        <f t="shared" si="66"/>
        <v>0.02</v>
      </c>
      <c r="U47" s="17">
        <f t="shared" si="66"/>
        <v>0.02</v>
      </c>
      <c r="V47" s="17">
        <f t="shared" si="66"/>
        <v>0.02</v>
      </c>
      <c r="W47" s="17">
        <f t="shared" si="66"/>
        <v>0.02</v>
      </c>
      <c r="X47" s="17">
        <f t="shared" si="66"/>
        <v>0.02</v>
      </c>
      <c r="Y47" s="17">
        <f t="shared" si="66"/>
        <v>0.02</v>
      </c>
      <c r="Z47" s="17">
        <f t="shared" si="66"/>
        <v>0.02</v>
      </c>
      <c r="AA47" s="17">
        <f t="shared" si="66"/>
        <v>0.02</v>
      </c>
    </row>
    <row r="48" spans="2:27" x14ac:dyDescent="0.35">
      <c r="B48" t="s">
        <v>40</v>
      </c>
      <c r="G48" s="30" t="s">
        <v>9</v>
      </c>
      <c r="H48" s="30" t="s">
        <v>9</v>
      </c>
      <c r="I48" s="30" t="s">
        <v>9</v>
      </c>
      <c r="J48" s="30" t="s">
        <v>9</v>
      </c>
      <c r="K48" s="30" t="s">
        <v>9</v>
      </c>
      <c r="L48" s="42" t="s">
        <v>9</v>
      </c>
      <c r="M48" s="16">
        <v>0.1</v>
      </c>
      <c r="N48" s="17">
        <f>+M48</f>
        <v>0.1</v>
      </c>
      <c r="O48" s="17">
        <f t="shared" ref="O48:AA48" si="67">+N48</f>
        <v>0.1</v>
      </c>
      <c r="P48" s="17">
        <f t="shared" si="67"/>
        <v>0.1</v>
      </c>
      <c r="Q48" s="17">
        <f t="shared" si="67"/>
        <v>0.1</v>
      </c>
      <c r="R48" s="17">
        <f t="shared" si="67"/>
        <v>0.1</v>
      </c>
      <c r="S48" s="17">
        <f t="shared" si="67"/>
        <v>0.1</v>
      </c>
      <c r="T48" s="17">
        <f t="shared" si="67"/>
        <v>0.1</v>
      </c>
      <c r="U48" s="17">
        <f t="shared" si="67"/>
        <v>0.1</v>
      </c>
      <c r="V48" s="17">
        <f t="shared" si="67"/>
        <v>0.1</v>
      </c>
      <c r="W48" s="17">
        <f t="shared" si="67"/>
        <v>0.1</v>
      </c>
      <c r="X48" s="17">
        <f t="shared" si="67"/>
        <v>0.1</v>
      </c>
      <c r="Y48" s="17">
        <f t="shared" si="67"/>
        <v>0.1</v>
      </c>
      <c r="Z48" s="17">
        <f t="shared" si="67"/>
        <v>0.1</v>
      </c>
      <c r="AA48" s="17">
        <f t="shared" si="67"/>
        <v>0.1</v>
      </c>
    </row>
    <row r="49" spans="1:28" x14ac:dyDescent="0.35">
      <c r="L49" s="34"/>
      <c r="M49" s="7"/>
    </row>
    <row r="50" spans="1:28" x14ac:dyDescent="0.35">
      <c r="B50" t="s">
        <v>80</v>
      </c>
      <c r="L50" s="34"/>
      <c r="M50" s="16">
        <v>0.8</v>
      </c>
      <c r="N50" s="17">
        <f t="shared" ref="N50:AA50" si="68">+M50</f>
        <v>0.8</v>
      </c>
      <c r="O50" s="17">
        <f t="shared" si="68"/>
        <v>0.8</v>
      </c>
      <c r="P50" s="17">
        <f t="shared" si="68"/>
        <v>0.8</v>
      </c>
      <c r="Q50" s="17">
        <f t="shared" si="68"/>
        <v>0.8</v>
      </c>
      <c r="R50" s="17">
        <f t="shared" si="68"/>
        <v>0.8</v>
      </c>
      <c r="S50" s="17">
        <f t="shared" si="68"/>
        <v>0.8</v>
      </c>
      <c r="T50" s="17">
        <f t="shared" si="68"/>
        <v>0.8</v>
      </c>
      <c r="U50" s="17">
        <f t="shared" si="68"/>
        <v>0.8</v>
      </c>
      <c r="V50" s="17">
        <f t="shared" si="68"/>
        <v>0.8</v>
      </c>
      <c r="W50" s="17">
        <f t="shared" si="68"/>
        <v>0.8</v>
      </c>
      <c r="X50" s="17">
        <f t="shared" si="68"/>
        <v>0.8</v>
      </c>
      <c r="Y50" s="17">
        <f t="shared" si="68"/>
        <v>0.8</v>
      </c>
      <c r="Z50" s="17">
        <f t="shared" si="68"/>
        <v>0.8</v>
      </c>
      <c r="AA50" s="17">
        <f t="shared" si="68"/>
        <v>0.8</v>
      </c>
    </row>
    <row r="51" spans="1:28" x14ac:dyDescent="0.35">
      <c r="A51" t="s">
        <v>62</v>
      </c>
      <c r="L51" s="34"/>
      <c r="M51" s="7"/>
      <c r="AB51" t="s">
        <v>62</v>
      </c>
    </row>
    <row r="52" spans="1:28" x14ac:dyDescent="0.35">
      <c r="B52" s="10" t="s">
        <v>89</v>
      </c>
      <c r="L52" s="34"/>
      <c r="M52" s="7"/>
    </row>
    <row r="53" spans="1:28" x14ac:dyDescent="0.35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107"/>
      <c r="M53" s="108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spans="1:28" x14ac:dyDescent="0.35">
      <c r="B54" s="11" t="s">
        <v>81</v>
      </c>
      <c r="C54" s="11"/>
      <c r="D54" s="11"/>
      <c r="E54" s="11"/>
      <c r="F54" s="11"/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3">
        <v>0</v>
      </c>
      <c r="M54" s="74">
        <f t="shared" ref="M54:AA54" si="69">M46*(1-M48)*M44*M50</f>
        <v>47.505765878877668</v>
      </c>
      <c r="N54" s="74">
        <f t="shared" si="69"/>
        <v>322.71506821967523</v>
      </c>
      <c r="O54" s="74">
        <f t="shared" si="69"/>
        <v>611.30164529811759</v>
      </c>
      <c r="P54" s="74">
        <f t="shared" si="69"/>
        <v>860.87893231740202</v>
      </c>
      <c r="Q54" s="74">
        <f t="shared" si="69"/>
        <v>1348.2152539041915</v>
      </c>
      <c r="R54" s="74">
        <f t="shared" si="69"/>
        <v>1050.6261697648802</v>
      </c>
      <c r="S54" s="74">
        <f t="shared" si="69"/>
        <v>840.69498069369479</v>
      </c>
      <c r="T54" s="74">
        <f t="shared" si="69"/>
        <v>693.37806741076065</v>
      </c>
      <c r="U54" s="74">
        <f t="shared" si="69"/>
        <v>590.79557322298297</v>
      </c>
      <c r="V54" s="74">
        <f t="shared" si="69"/>
        <v>520.18257021602983</v>
      </c>
      <c r="W54" s="74">
        <f t="shared" si="69"/>
        <v>472.42619268842822</v>
      </c>
      <c r="X54" s="74">
        <f t="shared" si="69"/>
        <v>441.02115118944977</v>
      </c>
      <c r="Y54" s="74">
        <f t="shared" si="69"/>
        <v>421.32397030157881</v>
      </c>
      <c r="Z54" s="74">
        <f t="shared" si="69"/>
        <v>410.02051517063086</v>
      </c>
      <c r="AA54" s="74">
        <f t="shared" si="69"/>
        <v>404.7458061962509</v>
      </c>
    </row>
    <row r="55" spans="1:28" x14ac:dyDescent="0.35">
      <c r="B55" s="24" t="s">
        <v>18</v>
      </c>
      <c r="G55" s="30" t="s">
        <v>9</v>
      </c>
      <c r="H55" s="30" t="s">
        <v>9</v>
      </c>
      <c r="I55" s="30" t="s">
        <v>9</v>
      </c>
      <c r="J55" s="30" t="s">
        <v>9</v>
      </c>
      <c r="K55" s="30" t="s">
        <v>9</v>
      </c>
      <c r="L55" s="42" t="s">
        <v>9</v>
      </c>
      <c r="M55" s="30" t="s">
        <v>9</v>
      </c>
      <c r="N55" s="17">
        <f>+N54/M54-1</f>
        <v>5.7931768333654627</v>
      </c>
      <c r="O55" s="17">
        <f t="shared" ref="O55:AA55" si="70">+O54/N54-1</f>
        <v>0.8942457464737863</v>
      </c>
      <c r="P55" s="17">
        <f t="shared" si="70"/>
        <v>0.4082719046135912</v>
      </c>
      <c r="Q55" s="17">
        <f t="shared" si="70"/>
        <v>0.56609158766950851</v>
      </c>
      <c r="R55" s="17">
        <f t="shared" si="70"/>
        <v>-0.22072816879763546</v>
      </c>
      <c r="S55" s="17">
        <f t="shared" si="70"/>
        <v>-0.19981530549364279</v>
      </c>
      <c r="T55" s="17">
        <f t="shared" si="70"/>
        <v>-0.17523229787975703</v>
      </c>
      <c r="U55" s="17">
        <f t="shared" si="70"/>
        <v>-0.14794597494386463</v>
      </c>
      <c r="V55" s="17">
        <f t="shared" si="70"/>
        <v>-0.11952188913964967</v>
      </c>
      <c r="W55" s="17">
        <f t="shared" si="70"/>
        <v>-9.180695444633713E-2</v>
      </c>
      <c r="X55" s="17">
        <f t="shared" si="70"/>
        <v>-6.6476080253430214E-2</v>
      </c>
      <c r="Y55" s="17">
        <f t="shared" si="70"/>
        <v>-4.4662667164028225E-2</v>
      </c>
      <c r="Z55" s="17">
        <f t="shared" si="70"/>
        <v>-2.6828416913609376E-2</v>
      </c>
      <c r="AA55" s="17">
        <f t="shared" si="70"/>
        <v>-1.2864500138937918E-2</v>
      </c>
    </row>
    <row r="56" spans="1:28" x14ac:dyDescent="0.35">
      <c r="G56" s="4"/>
      <c r="H56" s="4"/>
      <c r="I56" s="4"/>
      <c r="J56" s="4"/>
      <c r="K56" s="4"/>
      <c r="L56" s="4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8" x14ac:dyDescent="0.35">
      <c r="B57" t="s">
        <v>38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44">
        <v>0</v>
      </c>
      <c r="M57" s="3">
        <f>+M58*M54</f>
        <v>5.7006919054653196</v>
      </c>
      <c r="N57" s="3">
        <f t="shared" ref="N57:AA57" si="71">+N58*N54</f>
        <v>35.498657504164278</v>
      </c>
      <c r="O57" s="3">
        <f t="shared" si="71"/>
        <v>61.130164529811765</v>
      </c>
      <c r="P57" s="3">
        <f t="shared" si="71"/>
        <v>77.479103908566174</v>
      </c>
      <c r="Q57" s="3">
        <f t="shared" si="71"/>
        <v>107.85722031233533</v>
      </c>
      <c r="R57" s="3">
        <f t="shared" si="71"/>
        <v>63.037570185892804</v>
      </c>
      <c r="S57" s="3">
        <f t="shared" si="71"/>
        <v>42.034749034684744</v>
      </c>
      <c r="T57" s="3">
        <f t="shared" si="71"/>
        <v>34.668903370538033</v>
      </c>
      <c r="U57" s="3">
        <f t="shared" si="71"/>
        <v>29.53977866114915</v>
      </c>
      <c r="V57" s="3">
        <f t="shared" si="71"/>
        <v>26.009128510801492</v>
      </c>
      <c r="W57" s="3">
        <f t="shared" si="71"/>
        <v>23.621309634421412</v>
      </c>
      <c r="X57" s="3">
        <f t="shared" si="71"/>
        <v>22.05105755947249</v>
      </c>
      <c r="Y57" s="3">
        <f t="shared" si="71"/>
        <v>21.066198515078941</v>
      </c>
      <c r="Z57" s="3">
        <f t="shared" si="71"/>
        <v>20.501025758531544</v>
      </c>
      <c r="AA57" s="3">
        <f t="shared" si="71"/>
        <v>20.237290309812547</v>
      </c>
    </row>
    <row r="58" spans="1:28" x14ac:dyDescent="0.35">
      <c r="B58" s="24" t="s">
        <v>35</v>
      </c>
      <c r="G58" s="30" t="s">
        <v>9</v>
      </c>
      <c r="H58" s="30" t="s">
        <v>9</v>
      </c>
      <c r="I58" s="30" t="s">
        <v>9</v>
      </c>
      <c r="J58" s="30" t="s">
        <v>9</v>
      </c>
      <c r="K58" s="30" t="s">
        <v>9</v>
      </c>
      <c r="L58" s="42" t="s">
        <v>9</v>
      </c>
      <c r="M58" s="16">
        <v>0.12</v>
      </c>
      <c r="N58" s="16">
        <v>0.11</v>
      </c>
      <c r="O58" s="16">
        <v>0.1</v>
      </c>
      <c r="P58" s="16">
        <v>0.09</v>
      </c>
      <c r="Q58" s="16">
        <v>0.08</v>
      </c>
      <c r="R58" s="16">
        <v>0.06</v>
      </c>
      <c r="S58" s="16">
        <v>0.05</v>
      </c>
      <c r="T58" s="28">
        <f t="shared" ref="T58:AA58" si="72">+S58</f>
        <v>0.05</v>
      </c>
      <c r="U58" s="28">
        <f t="shared" si="72"/>
        <v>0.05</v>
      </c>
      <c r="V58" s="28">
        <f t="shared" si="72"/>
        <v>0.05</v>
      </c>
      <c r="W58" s="28">
        <f t="shared" si="72"/>
        <v>0.05</v>
      </c>
      <c r="X58" s="28">
        <f t="shared" si="72"/>
        <v>0.05</v>
      </c>
      <c r="Y58" s="28">
        <f t="shared" si="72"/>
        <v>0.05</v>
      </c>
      <c r="Z58" s="28">
        <f t="shared" si="72"/>
        <v>0.05</v>
      </c>
      <c r="AA58" s="28">
        <f t="shared" si="72"/>
        <v>0.05</v>
      </c>
    </row>
    <row r="59" spans="1:28" x14ac:dyDescent="0.35">
      <c r="B59" t="s">
        <v>37</v>
      </c>
      <c r="G59" s="30" t="s">
        <v>9</v>
      </c>
      <c r="H59" s="30" t="s">
        <v>9</v>
      </c>
      <c r="I59" s="30" t="s">
        <v>9</v>
      </c>
      <c r="J59" s="30" t="s">
        <v>9</v>
      </c>
      <c r="K59" s="30" t="s">
        <v>9</v>
      </c>
      <c r="L59" s="42" t="s">
        <v>9</v>
      </c>
      <c r="M59" s="16">
        <v>0.09</v>
      </c>
      <c r="N59" s="17">
        <f>+M59</f>
        <v>0.09</v>
      </c>
      <c r="O59" s="17">
        <f t="shared" ref="O59:AA59" si="73">+N59</f>
        <v>0.09</v>
      </c>
      <c r="P59" s="17">
        <f t="shared" si="73"/>
        <v>0.09</v>
      </c>
      <c r="Q59" s="17">
        <f t="shared" si="73"/>
        <v>0.09</v>
      </c>
      <c r="R59" s="17">
        <f t="shared" si="73"/>
        <v>0.09</v>
      </c>
      <c r="S59" s="17">
        <f t="shared" si="73"/>
        <v>0.09</v>
      </c>
      <c r="T59" s="17">
        <f t="shared" si="73"/>
        <v>0.09</v>
      </c>
      <c r="U59" s="17">
        <f t="shared" si="73"/>
        <v>0.09</v>
      </c>
      <c r="V59" s="17">
        <f t="shared" si="73"/>
        <v>0.09</v>
      </c>
      <c r="W59" s="17">
        <f t="shared" si="73"/>
        <v>0.09</v>
      </c>
      <c r="X59" s="17">
        <f t="shared" si="73"/>
        <v>0.09</v>
      </c>
      <c r="Y59" s="17">
        <f t="shared" si="73"/>
        <v>0.09</v>
      </c>
      <c r="Z59" s="17">
        <f t="shared" si="73"/>
        <v>0.09</v>
      </c>
      <c r="AA59" s="17">
        <f t="shared" si="73"/>
        <v>0.09</v>
      </c>
    </row>
    <row r="60" spans="1:28" x14ac:dyDescent="0.35">
      <c r="B60" t="s">
        <v>39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44">
        <v>0</v>
      </c>
      <c r="M60" s="3">
        <f>+M59*M54</f>
        <v>4.2755189290989897</v>
      </c>
      <c r="N60" s="3">
        <f t="shared" ref="N60:AA60" si="74">+N59*N54</f>
        <v>29.04435613977077</v>
      </c>
      <c r="O60" s="3">
        <f t="shared" si="74"/>
        <v>55.01714807683058</v>
      </c>
      <c r="P60" s="3">
        <f t="shared" si="74"/>
        <v>77.479103908566174</v>
      </c>
      <c r="Q60" s="3">
        <f t="shared" si="74"/>
        <v>121.33937285137723</v>
      </c>
      <c r="R60" s="3">
        <f t="shared" si="74"/>
        <v>94.556355278839206</v>
      </c>
      <c r="S60" s="3">
        <f t="shared" si="74"/>
        <v>75.662548262432523</v>
      </c>
      <c r="T60" s="3">
        <f t="shared" si="74"/>
        <v>62.404026066968456</v>
      </c>
      <c r="U60" s="3">
        <f t="shared" si="74"/>
        <v>53.171601590068462</v>
      </c>
      <c r="V60" s="3">
        <f t="shared" si="74"/>
        <v>46.816431319442685</v>
      </c>
      <c r="W60" s="3">
        <f t="shared" si="74"/>
        <v>42.518357341958534</v>
      </c>
      <c r="X60" s="3">
        <f t="shared" si="74"/>
        <v>39.691903607050477</v>
      </c>
      <c r="Y60" s="3">
        <f t="shared" si="74"/>
        <v>37.919157327142095</v>
      </c>
      <c r="Z60" s="3">
        <f t="shared" si="74"/>
        <v>36.901846365356775</v>
      </c>
      <c r="AA60" s="3">
        <f t="shared" si="74"/>
        <v>36.427122557662578</v>
      </c>
    </row>
    <row r="61" spans="1:28" x14ac:dyDescent="0.35">
      <c r="B61" t="s">
        <v>41</v>
      </c>
      <c r="G61" s="2">
        <f>+G60+G57</f>
        <v>0</v>
      </c>
      <c r="H61" s="2">
        <f t="shared" ref="H61:L61" si="75">+H60+H57</f>
        <v>0</v>
      </c>
      <c r="I61" s="2">
        <f t="shared" si="75"/>
        <v>0</v>
      </c>
      <c r="J61" s="2">
        <f t="shared" si="75"/>
        <v>0</v>
      </c>
      <c r="K61" s="2">
        <f t="shared" si="75"/>
        <v>0</v>
      </c>
      <c r="L61" s="45">
        <f t="shared" si="75"/>
        <v>0</v>
      </c>
      <c r="M61" s="3">
        <f t="shared" ref="M61" si="76">+M60+M57</f>
        <v>9.9762108345643092</v>
      </c>
      <c r="N61" s="3">
        <f t="shared" ref="N61" si="77">+N60+N57</f>
        <v>64.543013643935041</v>
      </c>
      <c r="O61" s="3">
        <f t="shared" ref="O61" si="78">+O60+O57</f>
        <v>116.14731260664234</v>
      </c>
      <c r="P61" s="3">
        <f t="shared" ref="P61" si="79">+P60+P57</f>
        <v>154.95820781713235</v>
      </c>
      <c r="Q61" s="3">
        <f t="shared" ref="Q61" si="80">+Q60+Q57</f>
        <v>229.19659316371258</v>
      </c>
      <c r="R61" s="3">
        <f t="shared" ref="R61" si="81">+R60+R57</f>
        <v>157.59392546473202</v>
      </c>
      <c r="S61" s="3">
        <f t="shared" ref="S61" si="82">+S60+S57</f>
        <v>117.69729729711727</v>
      </c>
      <c r="T61" s="3">
        <f t="shared" ref="T61" si="83">+T60+T57</f>
        <v>97.072929437506488</v>
      </c>
      <c r="U61" s="3">
        <f t="shared" ref="U61" si="84">+U60+U57</f>
        <v>82.711380251217605</v>
      </c>
      <c r="V61" s="3">
        <f t="shared" ref="V61" si="85">+V60+V57</f>
        <v>72.825559830244174</v>
      </c>
      <c r="W61" s="3">
        <f t="shared" ref="W61" si="86">+W60+W57</f>
        <v>66.139666976379942</v>
      </c>
      <c r="X61" s="3">
        <f t="shared" ref="X61" si="87">+X60+X57</f>
        <v>61.742961166522967</v>
      </c>
      <c r="Y61" s="3">
        <f t="shared" ref="Y61" si="88">+Y60+Y57</f>
        <v>58.98535584222104</v>
      </c>
      <c r="Z61" s="3">
        <f t="shared" ref="Z61" si="89">+Z60+Z57</f>
        <v>57.402872123888315</v>
      </c>
      <c r="AA61" s="3">
        <f t="shared" ref="AA61" si="90">+AA60+AA57</f>
        <v>56.664412867475122</v>
      </c>
    </row>
    <row r="62" spans="1:28" x14ac:dyDescent="0.35">
      <c r="G62" s="30"/>
      <c r="H62" s="30"/>
      <c r="I62" s="30"/>
      <c r="J62" s="30"/>
      <c r="K62" s="30"/>
      <c r="L62" s="4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8" x14ac:dyDescent="0.35">
      <c r="B63" s="11" t="s">
        <v>42</v>
      </c>
      <c r="C63" s="11"/>
      <c r="D63" s="11"/>
      <c r="E63" s="11"/>
      <c r="F63" s="11"/>
      <c r="G63" s="74">
        <f t="shared" ref="G63:AA63" si="91">+G54-G61</f>
        <v>0</v>
      </c>
      <c r="H63" s="74">
        <f t="shared" si="91"/>
        <v>0</v>
      </c>
      <c r="I63" s="74">
        <f t="shared" si="91"/>
        <v>0</v>
      </c>
      <c r="J63" s="74">
        <f t="shared" si="91"/>
        <v>0</v>
      </c>
      <c r="K63" s="74">
        <f t="shared" si="91"/>
        <v>0</v>
      </c>
      <c r="L63" s="75">
        <f t="shared" si="91"/>
        <v>0</v>
      </c>
      <c r="M63" s="74">
        <f t="shared" si="91"/>
        <v>37.529555044313355</v>
      </c>
      <c r="N63" s="74">
        <f t="shared" si="91"/>
        <v>258.17205457574016</v>
      </c>
      <c r="O63" s="74">
        <f t="shared" si="91"/>
        <v>495.15433269147525</v>
      </c>
      <c r="P63" s="74">
        <f t="shared" si="91"/>
        <v>705.92072450026967</v>
      </c>
      <c r="Q63" s="74">
        <f t="shared" si="91"/>
        <v>1119.0186607404789</v>
      </c>
      <c r="R63" s="74">
        <f t="shared" si="91"/>
        <v>893.03224430014814</v>
      </c>
      <c r="S63" s="74">
        <f t="shared" si="91"/>
        <v>722.99768339657749</v>
      </c>
      <c r="T63" s="74">
        <f t="shared" si="91"/>
        <v>596.3051379732542</v>
      </c>
      <c r="U63" s="74">
        <f t="shared" si="91"/>
        <v>508.08419297176533</v>
      </c>
      <c r="V63" s="74">
        <f t="shared" si="91"/>
        <v>447.35701038578566</v>
      </c>
      <c r="W63" s="74">
        <f t="shared" si="91"/>
        <v>406.28652571204827</v>
      </c>
      <c r="X63" s="74">
        <f t="shared" si="91"/>
        <v>379.27819002292682</v>
      </c>
      <c r="Y63" s="74">
        <f t="shared" si="91"/>
        <v>362.33861445935776</v>
      </c>
      <c r="Z63" s="74">
        <f t="shared" si="91"/>
        <v>352.61764304674256</v>
      </c>
      <c r="AA63" s="74">
        <f t="shared" si="91"/>
        <v>348.08139332877579</v>
      </c>
    </row>
    <row r="64" spans="1:28" x14ac:dyDescent="0.35">
      <c r="B64" s="31" t="s">
        <v>34</v>
      </c>
      <c r="G64" s="32" t="str">
        <f>IFERROR(G63/G54,"N/A")</f>
        <v>N/A</v>
      </c>
      <c r="H64" s="32" t="str">
        <f t="shared" ref="H64:AA64" si="92">IFERROR(H63/H54,"N/A")</f>
        <v>N/A</v>
      </c>
      <c r="I64" s="32" t="str">
        <f t="shared" si="92"/>
        <v>N/A</v>
      </c>
      <c r="J64" s="32" t="str">
        <f t="shared" si="92"/>
        <v>N/A</v>
      </c>
      <c r="K64" s="32" t="str">
        <f t="shared" si="92"/>
        <v>N/A</v>
      </c>
      <c r="L64" s="46" t="str">
        <f t="shared" si="92"/>
        <v>N/A</v>
      </c>
      <c r="M64" s="32">
        <f t="shared" si="92"/>
        <v>0.78999999999999992</v>
      </c>
      <c r="N64" s="32">
        <f t="shared" si="92"/>
        <v>0.79999999999999993</v>
      </c>
      <c r="O64" s="32">
        <f t="shared" si="92"/>
        <v>0.80999999999999994</v>
      </c>
      <c r="P64" s="32">
        <f t="shared" si="92"/>
        <v>0.82000000000000006</v>
      </c>
      <c r="Q64" s="32">
        <f t="shared" si="92"/>
        <v>0.83</v>
      </c>
      <c r="R64" s="32">
        <f t="shared" si="92"/>
        <v>0.85</v>
      </c>
      <c r="S64" s="32">
        <f t="shared" si="92"/>
        <v>0.86</v>
      </c>
      <c r="T64" s="32">
        <f t="shared" si="92"/>
        <v>0.8600000000000001</v>
      </c>
      <c r="U64" s="32">
        <f t="shared" si="92"/>
        <v>0.86</v>
      </c>
      <c r="V64" s="32">
        <f t="shared" si="92"/>
        <v>0.86</v>
      </c>
      <c r="W64" s="32">
        <f t="shared" si="92"/>
        <v>0.86</v>
      </c>
      <c r="X64" s="32">
        <f t="shared" si="92"/>
        <v>0.8600000000000001</v>
      </c>
      <c r="Y64" s="32">
        <f t="shared" si="92"/>
        <v>0.86</v>
      </c>
      <c r="Z64" s="32">
        <f t="shared" si="92"/>
        <v>0.8600000000000001</v>
      </c>
      <c r="AA64" s="32">
        <f t="shared" si="92"/>
        <v>0.8600000000000001</v>
      </c>
    </row>
    <row r="65" spans="1:28" x14ac:dyDescent="0.35">
      <c r="G65" s="5"/>
      <c r="H65" s="5"/>
      <c r="I65" s="5"/>
      <c r="J65" s="5"/>
      <c r="K65" s="5"/>
      <c r="L65" s="44"/>
    </row>
    <row r="66" spans="1:28" x14ac:dyDescent="0.35">
      <c r="B66" t="s">
        <v>0</v>
      </c>
      <c r="G66" s="5">
        <v>1.8340000000000001</v>
      </c>
      <c r="H66" s="5">
        <v>1.8698889999999999</v>
      </c>
      <c r="I66" s="5">
        <v>11.08</v>
      </c>
      <c r="J66" s="5">
        <v>24.523</v>
      </c>
      <c r="K66" s="5">
        <v>69.975999999999999</v>
      </c>
      <c r="L66" s="44">
        <f>22.747*4</f>
        <v>90.988</v>
      </c>
      <c r="M66" s="5">
        <v>100</v>
      </c>
      <c r="N66" s="5">
        <v>105</v>
      </c>
      <c r="O66" s="5">
        <v>110</v>
      </c>
      <c r="P66" s="5">
        <v>120</v>
      </c>
      <c r="Q66" s="3">
        <f>+Q67*Q54</f>
        <v>187.93099052034106</v>
      </c>
      <c r="R66" s="3">
        <f t="shared" ref="R66:AA66" si="93">+R67*R54</f>
        <v>146.44932712246037</v>
      </c>
      <c r="S66" s="3">
        <f t="shared" si="93"/>
        <v>117.18651008414753</v>
      </c>
      <c r="T66" s="3">
        <f t="shared" si="93"/>
        <v>96.651648641593027</v>
      </c>
      <c r="U66" s="3">
        <f t="shared" si="93"/>
        <v>82.352426253380699</v>
      </c>
      <c r="V66" s="3">
        <f t="shared" si="93"/>
        <v>72.509508692342962</v>
      </c>
      <c r="W66" s="3">
        <f t="shared" si="93"/>
        <v>65.852631530898748</v>
      </c>
      <c r="X66" s="3">
        <f t="shared" si="93"/>
        <v>61.475006712351146</v>
      </c>
      <c r="Y66" s="3">
        <f t="shared" si="93"/>
        <v>58.729368948651008</v>
      </c>
      <c r="Z66" s="3">
        <f t="shared" si="93"/>
        <v>57.153752953423407</v>
      </c>
      <c r="AA66" s="3">
        <f t="shared" si="93"/>
        <v>56.418498490613274</v>
      </c>
    </row>
    <row r="67" spans="1:28" x14ac:dyDescent="0.35">
      <c r="B67" s="24" t="s">
        <v>44</v>
      </c>
      <c r="G67" s="30" t="s">
        <v>9</v>
      </c>
      <c r="H67" s="30" t="s">
        <v>9</v>
      </c>
      <c r="I67" s="30" t="s">
        <v>9</v>
      </c>
      <c r="J67" s="30" t="s">
        <v>9</v>
      </c>
      <c r="K67" s="30" t="s">
        <v>9</v>
      </c>
      <c r="L67" s="42" t="s">
        <v>9</v>
      </c>
      <c r="M67" s="28">
        <f t="shared" ref="M67:N67" si="94">+M66/M54</f>
        <v>2.1050076374931717</v>
      </c>
      <c r="N67" s="28">
        <f t="shared" si="94"/>
        <v>0.3253644169119661</v>
      </c>
      <c r="O67" s="28">
        <f t="shared" ref="O67" si="95">+O66/O54</f>
        <v>0.17994389651340714</v>
      </c>
      <c r="P67" s="28">
        <f t="shared" ref="P67" si="96">+P66/P54</f>
        <v>0.13939242266850663</v>
      </c>
      <c r="Q67" s="29">
        <f>+P67</f>
        <v>0.13939242266850663</v>
      </c>
      <c r="R67" s="28">
        <f t="shared" ref="R67:AA67" si="97">+Q67</f>
        <v>0.13939242266850663</v>
      </c>
      <c r="S67" s="28">
        <f t="shared" si="97"/>
        <v>0.13939242266850663</v>
      </c>
      <c r="T67" s="28">
        <f t="shared" si="97"/>
        <v>0.13939242266850663</v>
      </c>
      <c r="U67" s="28">
        <f t="shared" si="97"/>
        <v>0.13939242266850663</v>
      </c>
      <c r="V67" s="28">
        <f t="shared" si="97"/>
        <v>0.13939242266850663</v>
      </c>
      <c r="W67" s="28">
        <f t="shared" si="97"/>
        <v>0.13939242266850663</v>
      </c>
      <c r="X67" s="28">
        <f t="shared" si="97"/>
        <v>0.13939242266850663</v>
      </c>
      <c r="Y67" s="28">
        <f t="shared" si="97"/>
        <v>0.13939242266850663</v>
      </c>
      <c r="Z67" s="28">
        <f t="shared" si="97"/>
        <v>0.13939242266850663</v>
      </c>
      <c r="AA67" s="28">
        <f t="shared" si="97"/>
        <v>0.13939242266850663</v>
      </c>
    </row>
    <row r="68" spans="1:28" x14ac:dyDescent="0.35">
      <c r="B68" t="s">
        <v>43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44">
        <v>0</v>
      </c>
      <c r="M68" s="3">
        <f>+M69*M54</f>
        <v>4.7505765878877666</v>
      </c>
      <c r="N68" s="3">
        <f t="shared" ref="N68:AA68" si="98">+N69*N54</f>
        <v>32.271506821967527</v>
      </c>
      <c r="O68" s="3">
        <f t="shared" si="98"/>
        <v>61.130164529811765</v>
      </c>
      <c r="P68" s="3">
        <f t="shared" si="98"/>
        <v>86.08789323174021</v>
      </c>
      <c r="Q68" s="3">
        <f t="shared" si="98"/>
        <v>134.82152539041917</v>
      </c>
      <c r="R68" s="3">
        <f t="shared" si="98"/>
        <v>105.06261697648802</v>
      </c>
      <c r="S68" s="3">
        <f t="shared" si="98"/>
        <v>84.069498069369487</v>
      </c>
      <c r="T68" s="3">
        <f t="shared" si="98"/>
        <v>69.337806741076065</v>
      </c>
      <c r="U68" s="3">
        <f t="shared" si="98"/>
        <v>59.079557322298299</v>
      </c>
      <c r="V68" s="3">
        <f t="shared" si="98"/>
        <v>52.018257021602984</v>
      </c>
      <c r="W68" s="3">
        <f t="shared" si="98"/>
        <v>47.242619268842823</v>
      </c>
      <c r="X68" s="3">
        <f t="shared" si="98"/>
        <v>44.10211511894498</v>
      </c>
      <c r="Y68" s="3">
        <f t="shared" si="98"/>
        <v>42.132397030157883</v>
      </c>
      <c r="Z68" s="3">
        <f t="shared" si="98"/>
        <v>41.002051517063087</v>
      </c>
      <c r="AA68" s="3">
        <f t="shared" si="98"/>
        <v>40.474580619625094</v>
      </c>
    </row>
    <row r="69" spans="1:28" x14ac:dyDescent="0.35">
      <c r="B69" s="24" t="s">
        <v>44</v>
      </c>
      <c r="G69" s="30" t="s">
        <v>9</v>
      </c>
      <c r="H69" s="30" t="s">
        <v>9</v>
      </c>
      <c r="I69" s="30" t="s">
        <v>9</v>
      </c>
      <c r="J69" s="30" t="s">
        <v>9</v>
      </c>
      <c r="K69" s="30" t="s">
        <v>9</v>
      </c>
      <c r="L69" s="42" t="s">
        <v>9</v>
      </c>
      <c r="M69" s="16">
        <v>0.1</v>
      </c>
      <c r="N69" s="17">
        <f>+M69</f>
        <v>0.1</v>
      </c>
      <c r="O69" s="17">
        <f t="shared" ref="O69:AA69" si="99">+N69</f>
        <v>0.1</v>
      </c>
      <c r="P69" s="17">
        <f t="shared" si="99"/>
        <v>0.1</v>
      </c>
      <c r="Q69" s="17">
        <f t="shared" si="99"/>
        <v>0.1</v>
      </c>
      <c r="R69" s="17">
        <f t="shared" si="99"/>
        <v>0.1</v>
      </c>
      <c r="S69" s="17">
        <f t="shared" si="99"/>
        <v>0.1</v>
      </c>
      <c r="T69" s="17">
        <f t="shared" si="99"/>
        <v>0.1</v>
      </c>
      <c r="U69" s="17">
        <f t="shared" si="99"/>
        <v>0.1</v>
      </c>
      <c r="V69" s="17">
        <f t="shared" si="99"/>
        <v>0.1</v>
      </c>
      <c r="W69" s="17">
        <f t="shared" si="99"/>
        <v>0.1</v>
      </c>
      <c r="X69" s="17">
        <f t="shared" si="99"/>
        <v>0.1</v>
      </c>
      <c r="Y69" s="17">
        <f t="shared" si="99"/>
        <v>0.1</v>
      </c>
      <c r="Z69" s="17">
        <f t="shared" si="99"/>
        <v>0.1</v>
      </c>
      <c r="AA69" s="17">
        <f t="shared" si="99"/>
        <v>0.1</v>
      </c>
    </row>
    <row r="70" spans="1:28" x14ac:dyDescent="0.35">
      <c r="B70" t="s">
        <v>1</v>
      </c>
      <c r="G70" s="5">
        <v>0.36299999999999999</v>
      </c>
      <c r="H70" s="5">
        <v>13.55</v>
      </c>
      <c r="I70" s="5">
        <v>27.492999999999999</v>
      </c>
      <c r="J70" s="5">
        <v>58.892000000000003</v>
      </c>
      <c r="K70" s="5">
        <v>150.39099999999999</v>
      </c>
      <c r="L70" s="44">
        <f>(199.709-135.2)*4</f>
        <v>258.03600000000006</v>
      </c>
      <c r="M70" s="5">
        <v>100</v>
      </c>
      <c r="N70" s="5">
        <v>100</v>
      </c>
      <c r="O70" s="5">
        <v>80</v>
      </c>
      <c r="P70" s="5">
        <v>40</v>
      </c>
      <c r="Q70" s="3">
        <f>+Q71*Q54</f>
        <v>62.643663506780335</v>
      </c>
      <c r="R70" s="3">
        <f t="shared" ref="R70:AA70" si="100">+R71*R54</f>
        <v>48.816442374153453</v>
      </c>
      <c r="S70" s="3">
        <f t="shared" si="100"/>
        <v>39.062170028049167</v>
      </c>
      <c r="T70" s="3">
        <f t="shared" si="100"/>
        <v>32.21721621386434</v>
      </c>
      <c r="U70" s="3">
        <f t="shared" si="100"/>
        <v>27.450808751126896</v>
      </c>
      <c r="V70" s="3">
        <f t="shared" si="100"/>
        <v>24.16983623078098</v>
      </c>
      <c r="W70" s="3">
        <f t="shared" si="100"/>
        <v>21.950877176966245</v>
      </c>
      <c r="X70" s="3">
        <f t="shared" si="100"/>
        <v>20.491668904117045</v>
      </c>
      <c r="Y70" s="3">
        <f t="shared" si="100"/>
        <v>19.576456316216998</v>
      </c>
      <c r="Z70" s="3">
        <f t="shared" si="100"/>
        <v>19.051250984474468</v>
      </c>
      <c r="AA70" s="3">
        <f t="shared" si="100"/>
        <v>18.806166163537753</v>
      </c>
    </row>
    <row r="71" spans="1:28" x14ac:dyDescent="0.35">
      <c r="B71" s="24" t="s">
        <v>44</v>
      </c>
      <c r="G71" s="30" t="s">
        <v>9</v>
      </c>
      <c r="H71" s="30" t="s">
        <v>9</v>
      </c>
      <c r="I71" s="30" t="s">
        <v>9</v>
      </c>
      <c r="J71" s="30" t="s">
        <v>9</v>
      </c>
      <c r="K71" s="30" t="s">
        <v>9</v>
      </c>
      <c r="L71" s="42" t="s">
        <v>9</v>
      </c>
      <c r="M71" s="32">
        <f t="shared" ref="M71:N71" si="101">+M70/M54</f>
        <v>2.1050076374931717</v>
      </c>
      <c r="N71" s="17">
        <f t="shared" si="101"/>
        <v>0.30987087324949153</v>
      </c>
      <c r="O71" s="17">
        <f t="shared" ref="O71" si="102">+O70/O54</f>
        <v>0.13086828837338702</v>
      </c>
      <c r="P71" s="17">
        <f t="shared" ref="P71" si="103">+P70/P54</f>
        <v>4.6464140889502202E-2</v>
      </c>
      <c r="Q71" s="29">
        <f>+P71</f>
        <v>4.6464140889502202E-2</v>
      </c>
      <c r="R71" s="17">
        <f>+Q71</f>
        <v>4.6464140889502202E-2</v>
      </c>
      <c r="S71" s="17">
        <f t="shared" ref="S71:AA71" si="104">+R71</f>
        <v>4.6464140889502202E-2</v>
      </c>
      <c r="T71" s="17">
        <f t="shared" si="104"/>
        <v>4.6464140889502202E-2</v>
      </c>
      <c r="U71" s="17">
        <f t="shared" si="104"/>
        <v>4.6464140889502202E-2</v>
      </c>
      <c r="V71" s="17">
        <f t="shared" si="104"/>
        <v>4.6464140889502202E-2</v>
      </c>
      <c r="W71" s="17">
        <f t="shared" si="104"/>
        <v>4.6464140889502202E-2</v>
      </c>
      <c r="X71" s="17">
        <f t="shared" si="104"/>
        <v>4.6464140889502202E-2</v>
      </c>
      <c r="Y71" s="17">
        <f t="shared" si="104"/>
        <v>4.6464140889502202E-2</v>
      </c>
      <c r="Z71" s="17">
        <f t="shared" si="104"/>
        <v>4.6464140889502202E-2</v>
      </c>
      <c r="AA71" s="17">
        <f t="shared" si="104"/>
        <v>4.6464140889502202E-2</v>
      </c>
    </row>
    <row r="72" spans="1:28" x14ac:dyDescent="0.35">
      <c r="G72" s="3"/>
      <c r="H72" s="3"/>
      <c r="I72" s="3"/>
      <c r="J72" s="3"/>
      <c r="K72" s="3"/>
      <c r="L72" s="47"/>
    </row>
    <row r="73" spans="1:28" x14ac:dyDescent="0.35">
      <c r="B73" t="s">
        <v>2</v>
      </c>
      <c r="G73" s="3">
        <f t="shared" ref="G73:AA73" si="105">+G61+G66+G70+G68</f>
        <v>2.1970000000000001</v>
      </c>
      <c r="H73" s="3">
        <f t="shared" si="105"/>
        <v>15.419889000000001</v>
      </c>
      <c r="I73" s="3">
        <f t="shared" si="105"/>
        <v>38.573</v>
      </c>
      <c r="J73" s="3">
        <f t="shared" si="105"/>
        <v>83.415000000000006</v>
      </c>
      <c r="K73" s="3">
        <f t="shared" si="105"/>
        <v>220.36699999999999</v>
      </c>
      <c r="L73" s="47">
        <f t="shared" si="105"/>
        <v>349.02400000000006</v>
      </c>
      <c r="M73" s="3">
        <f t="shared" si="105"/>
        <v>214.72678742245208</v>
      </c>
      <c r="N73" s="3">
        <f t="shared" si="105"/>
        <v>301.8145204659026</v>
      </c>
      <c r="O73" s="3">
        <f t="shared" si="105"/>
        <v>367.27747713645408</v>
      </c>
      <c r="P73" s="3">
        <f t="shared" si="105"/>
        <v>401.04610104887257</v>
      </c>
      <c r="Q73" s="3">
        <f t="shared" si="105"/>
        <v>614.59277258125314</v>
      </c>
      <c r="R73" s="3">
        <f t="shared" si="105"/>
        <v>457.92231193783385</v>
      </c>
      <c r="S73" s="3">
        <f t="shared" si="105"/>
        <v>358.01547547868347</v>
      </c>
      <c r="T73" s="3">
        <f t="shared" si="105"/>
        <v>295.2796010340399</v>
      </c>
      <c r="U73" s="3">
        <f t="shared" si="105"/>
        <v>251.59417257802346</v>
      </c>
      <c r="V73" s="3">
        <f t="shared" si="105"/>
        <v>221.5231617749711</v>
      </c>
      <c r="W73" s="3">
        <f t="shared" si="105"/>
        <v>201.18579495308774</v>
      </c>
      <c r="X73" s="3">
        <f t="shared" si="105"/>
        <v>187.81175190193613</v>
      </c>
      <c r="Y73" s="3">
        <f t="shared" si="105"/>
        <v>179.42357813724692</v>
      </c>
      <c r="Z73" s="3">
        <f t="shared" si="105"/>
        <v>174.60992757884927</v>
      </c>
      <c r="AA73" s="3">
        <f t="shared" si="105"/>
        <v>172.36365814125125</v>
      </c>
    </row>
    <row r="74" spans="1:28" x14ac:dyDescent="0.35">
      <c r="G74" s="3"/>
      <c r="H74" s="3"/>
      <c r="I74" s="3"/>
      <c r="J74" s="3"/>
      <c r="K74" s="3"/>
      <c r="L74" s="47"/>
    </row>
    <row r="75" spans="1:28" x14ac:dyDescent="0.35">
      <c r="B75" t="s">
        <v>45</v>
      </c>
      <c r="G75" s="2">
        <f t="shared" ref="G75:AA75" si="106">G54-G73</f>
        <v>-2.1970000000000001</v>
      </c>
      <c r="H75" s="2">
        <f t="shared" si="106"/>
        <v>-15.419889000000001</v>
      </c>
      <c r="I75" s="2">
        <f t="shared" si="106"/>
        <v>-38.573</v>
      </c>
      <c r="J75" s="2">
        <f t="shared" si="106"/>
        <v>-83.415000000000006</v>
      </c>
      <c r="K75" s="2">
        <f t="shared" si="106"/>
        <v>-220.36699999999999</v>
      </c>
      <c r="L75" s="45">
        <f t="shared" si="106"/>
        <v>-349.02400000000006</v>
      </c>
      <c r="M75" s="2">
        <f t="shared" si="106"/>
        <v>-167.22102154357441</v>
      </c>
      <c r="N75" s="2">
        <f t="shared" si="106"/>
        <v>20.900547753772628</v>
      </c>
      <c r="O75" s="2">
        <f t="shared" si="106"/>
        <v>244.02416816166351</v>
      </c>
      <c r="P75" s="2">
        <f t="shared" si="106"/>
        <v>459.83283126852945</v>
      </c>
      <c r="Q75" s="2">
        <f t="shared" si="106"/>
        <v>733.62248132293837</v>
      </c>
      <c r="R75" s="2">
        <f t="shared" si="106"/>
        <v>592.70385782704625</v>
      </c>
      <c r="S75" s="2">
        <f t="shared" si="106"/>
        <v>482.67950521501132</v>
      </c>
      <c r="T75" s="2">
        <f t="shared" si="106"/>
        <v>398.09846637672075</v>
      </c>
      <c r="U75" s="2">
        <f t="shared" si="106"/>
        <v>339.20140064495951</v>
      </c>
      <c r="V75" s="2">
        <f t="shared" si="106"/>
        <v>298.65940844105876</v>
      </c>
      <c r="W75" s="2">
        <f t="shared" si="106"/>
        <v>271.24039773534048</v>
      </c>
      <c r="X75" s="2">
        <f t="shared" si="106"/>
        <v>253.20939928751363</v>
      </c>
      <c r="Y75" s="2">
        <f t="shared" si="106"/>
        <v>241.90039216433189</v>
      </c>
      <c r="Z75" s="2">
        <f t="shared" si="106"/>
        <v>235.41058759178159</v>
      </c>
      <c r="AA75" s="2">
        <f t="shared" si="106"/>
        <v>232.38214805499965</v>
      </c>
    </row>
    <row r="76" spans="1:28" x14ac:dyDescent="0.35">
      <c r="B76" s="31" t="s">
        <v>34</v>
      </c>
      <c r="G76" s="30" t="s">
        <v>9</v>
      </c>
      <c r="H76" s="30" t="s">
        <v>9</v>
      </c>
      <c r="I76" s="30" t="s">
        <v>9</v>
      </c>
      <c r="J76" s="30" t="s">
        <v>9</v>
      </c>
      <c r="K76" s="30" t="s">
        <v>9</v>
      </c>
      <c r="L76" s="42" t="s">
        <v>9</v>
      </c>
      <c r="M76" s="17">
        <f t="shared" ref="M76:AA76" si="107">+M75/M54</f>
        <v>-3.5200152749863429</v>
      </c>
      <c r="N76" s="17">
        <f t="shared" si="107"/>
        <v>6.4764709838542225E-2</v>
      </c>
      <c r="O76" s="17">
        <f t="shared" si="107"/>
        <v>0.39918781511320583</v>
      </c>
      <c r="P76" s="17">
        <f t="shared" si="107"/>
        <v>0.53414343644199114</v>
      </c>
      <c r="Q76" s="17">
        <f t="shared" si="107"/>
        <v>0.54414343644199115</v>
      </c>
      <c r="R76" s="17">
        <f t="shared" si="107"/>
        <v>0.56414343644199116</v>
      </c>
      <c r="S76" s="17">
        <f t="shared" si="107"/>
        <v>0.57414343644199117</v>
      </c>
      <c r="T76" s="17">
        <f t="shared" si="107"/>
        <v>0.57414343644199117</v>
      </c>
      <c r="U76" s="17">
        <f t="shared" si="107"/>
        <v>0.57414343644199128</v>
      </c>
      <c r="V76" s="17">
        <f t="shared" si="107"/>
        <v>0.57414343644199117</v>
      </c>
      <c r="W76" s="17">
        <f t="shared" si="107"/>
        <v>0.57414343644199117</v>
      </c>
      <c r="X76" s="17">
        <f t="shared" si="107"/>
        <v>0.57414343644199117</v>
      </c>
      <c r="Y76" s="17">
        <f t="shared" si="107"/>
        <v>0.57414343644199117</v>
      </c>
      <c r="Z76" s="17">
        <f t="shared" si="107"/>
        <v>0.57414343644199117</v>
      </c>
      <c r="AA76" s="17">
        <f t="shared" si="107"/>
        <v>0.57414343644199117</v>
      </c>
    </row>
    <row r="77" spans="1:28" x14ac:dyDescent="0.35">
      <c r="A77" t="s">
        <v>62</v>
      </c>
      <c r="G77" s="2"/>
      <c r="H77" s="2"/>
      <c r="I77" s="2"/>
      <c r="J77" s="2"/>
      <c r="K77" s="2"/>
      <c r="L77" s="45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t="s">
        <v>62</v>
      </c>
    </row>
    <row r="78" spans="1:28" x14ac:dyDescent="0.35">
      <c r="B78" s="10" t="s">
        <v>46</v>
      </c>
      <c r="G78" s="2"/>
      <c r="H78" s="2"/>
      <c r="I78" s="2"/>
      <c r="J78" s="2"/>
      <c r="K78" s="2"/>
      <c r="L78" s="45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8" x14ac:dyDescent="0.35">
      <c r="B79" s="110" t="s">
        <v>90</v>
      </c>
      <c r="C79" s="51"/>
      <c r="D79" s="51"/>
      <c r="E79" s="51"/>
      <c r="F79" s="51"/>
      <c r="G79" s="52"/>
      <c r="H79" s="52"/>
      <c r="I79" s="52"/>
      <c r="J79" s="52"/>
      <c r="K79" s="52"/>
      <c r="L79" s="106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</row>
    <row r="80" spans="1:28" x14ac:dyDescent="0.35">
      <c r="B80" s="53"/>
      <c r="C80" s="53"/>
      <c r="D80" s="53"/>
      <c r="E80" s="53"/>
      <c r="F80" s="53"/>
      <c r="G80" s="48"/>
      <c r="H80" s="48"/>
      <c r="I80" s="48"/>
      <c r="J80" s="48"/>
      <c r="K80" s="48"/>
      <c r="L80" s="45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</row>
    <row r="81" spans="2:27" x14ac:dyDescent="0.35">
      <c r="B81" t="s">
        <v>50</v>
      </c>
      <c r="G81" s="2"/>
      <c r="H81" s="2"/>
      <c r="I81" s="2"/>
      <c r="J81" s="2"/>
      <c r="K81" s="2"/>
      <c r="L81" s="45"/>
      <c r="M81" s="2">
        <f t="shared" ref="M81:AA81" si="108">+M75</f>
        <v>-167.22102154357441</v>
      </c>
      <c r="N81" s="2">
        <f t="shared" si="108"/>
        <v>20.900547753772628</v>
      </c>
      <c r="O81" s="2">
        <f t="shared" si="108"/>
        <v>244.02416816166351</v>
      </c>
      <c r="P81" s="2">
        <f t="shared" si="108"/>
        <v>459.83283126852945</v>
      </c>
      <c r="Q81" s="2">
        <f t="shared" si="108"/>
        <v>733.62248132293837</v>
      </c>
      <c r="R81" s="2">
        <f t="shared" si="108"/>
        <v>592.70385782704625</v>
      </c>
      <c r="S81" s="2">
        <f t="shared" si="108"/>
        <v>482.67950521501132</v>
      </c>
      <c r="T81" s="2">
        <f t="shared" si="108"/>
        <v>398.09846637672075</v>
      </c>
      <c r="U81" s="2">
        <f t="shared" si="108"/>
        <v>339.20140064495951</v>
      </c>
      <c r="V81" s="2">
        <f t="shared" si="108"/>
        <v>298.65940844105876</v>
      </c>
      <c r="W81" s="2">
        <f t="shared" si="108"/>
        <v>271.24039773534048</v>
      </c>
      <c r="X81" s="2">
        <f t="shared" si="108"/>
        <v>253.20939928751363</v>
      </c>
      <c r="Y81" s="2">
        <f t="shared" si="108"/>
        <v>241.90039216433189</v>
      </c>
      <c r="Z81" s="2">
        <f t="shared" si="108"/>
        <v>235.41058759178159</v>
      </c>
      <c r="AA81" s="2">
        <f t="shared" si="108"/>
        <v>232.38214805499965</v>
      </c>
    </row>
    <row r="82" spans="2:27" x14ac:dyDescent="0.35">
      <c r="B82" t="s">
        <v>47</v>
      </c>
      <c r="G82" s="2"/>
      <c r="H82" s="2"/>
      <c r="I82" s="2"/>
      <c r="J82" s="2"/>
      <c r="K82" s="2"/>
      <c r="L82" s="45"/>
      <c r="M82" s="3">
        <f t="shared" ref="M82:AA82" si="109">+M81*M83</f>
        <v>0</v>
      </c>
      <c r="N82" s="3">
        <f t="shared" si="109"/>
        <v>4.3891150282922515</v>
      </c>
      <c r="O82" s="3">
        <f t="shared" si="109"/>
        <v>51.245075313949336</v>
      </c>
      <c r="P82" s="3">
        <f t="shared" si="109"/>
        <v>96.564894566391175</v>
      </c>
      <c r="Q82" s="3">
        <f t="shared" si="109"/>
        <v>154.06072107781705</v>
      </c>
      <c r="R82" s="3">
        <f t="shared" si="109"/>
        <v>124.46781014367971</v>
      </c>
      <c r="S82" s="3">
        <f t="shared" si="109"/>
        <v>101.36269609515237</v>
      </c>
      <c r="T82" s="3">
        <f t="shared" si="109"/>
        <v>83.60067793911135</v>
      </c>
      <c r="U82" s="3">
        <f t="shared" si="109"/>
        <v>71.232294135441492</v>
      </c>
      <c r="V82" s="3">
        <f t="shared" si="109"/>
        <v>62.718475772622334</v>
      </c>
      <c r="W82" s="3">
        <f t="shared" si="109"/>
        <v>56.960483524421498</v>
      </c>
      <c r="X82" s="3">
        <f t="shared" si="109"/>
        <v>53.173973850377863</v>
      </c>
      <c r="Y82" s="3">
        <f t="shared" si="109"/>
        <v>50.799082354509693</v>
      </c>
      <c r="Z82" s="3">
        <f t="shared" si="109"/>
        <v>49.43622339427413</v>
      </c>
      <c r="AA82" s="3">
        <f t="shared" si="109"/>
        <v>48.800251091549924</v>
      </c>
    </row>
    <row r="83" spans="2:27" x14ac:dyDescent="0.35">
      <c r="B83" s="21" t="s">
        <v>48</v>
      </c>
      <c r="G83" s="2"/>
      <c r="H83" s="2"/>
      <c r="I83" s="2"/>
      <c r="J83" s="2"/>
      <c r="K83" s="2"/>
      <c r="L83" s="45"/>
      <c r="M83" s="16">
        <f>IF(M81&lt;0,0,21%)</f>
        <v>0</v>
      </c>
      <c r="N83" s="16">
        <f t="shared" ref="N83:AA83" si="110">IF(N81&lt;0,0,21%)</f>
        <v>0.21</v>
      </c>
      <c r="O83" s="16">
        <f t="shared" si="110"/>
        <v>0.21</v>
      </c>
      <c r="P83" s="16">
        <f t="shared" si="110"/>
        <v>0.21</v>
      </c>
      <c r="Q83" s="16">
        <f t="shared" si="110"/>
        <v>0.21</v>
      </c>
      <c r="R83" s="16">
        <f t="shared" si="110"/>
        <v>0.21</v>
      </c>
      <c r="S83" s="16">
        <f t="shared" si="110"/>
        <v>0.21</v>
      </c>
      <c r="T83" s="16">
        <f t="shared" si="110"/>
        <v>0.21</v>
      </c>
      <c r="U83" s="16">
        <f t="shared" si="110"/>
        <v>0.21</v>
      </c>
      <c r="V83" s="16">
        <f t="shared" si="110"/>
        <v>0.21</v>
      </c>
      <c r="W83" s="16">
        <f t="shared" si="110"/>
        <v>0.21</v>
      </c>
      <c r="X83" s="16">
        <f t="shared" si="110"/>
        <v>0.21</v>
      </c>
      <c r="Y83" s="16">
        <f t="shared" si="110"/>
        <v>0.21</v>
      </c>
      <c r="Z83" s="16">
        <f t="shared" si="110"/>
        <v>0.21</v>
      </c>
      <c r="AA83" s="16">
        <f t="shared" si="110"/>
        <v>0.21</v>
      </c>
    </row>
    <row r="84" spans="2:27" x14ac:dyDescent="0.35">
      <c r="B84" t="s">
        <v>49</v>
      </c>
      <c r="G84" s="2"/>
      <c r="H84" s="2"/>
      <c r="I84" s="2"/>
      <c r="J84" s="2"/>
      <c r="K84" s="2"/>
      <c r="L84" s="45"/>
      <c r="M84" s="3">
        <f t="shared" ref="M84:AA84" si="111">+M81-M82</f>
        <v>-167.22102154357441</v>
      </c>
      <c r="N84" s="3">
        <f t="shared" si="111"/>
        <v>16.511432725480375</v>
      </c>
      <c r="O84" s="3">
        <f t="shared" si="111"/>
        <v>192.77909284771417</v>
      </c>
      <c r="P84" s="3">
        <f t="shared" si="111"/>
        <v>363.26793670213829</v>
      </c>
      <c r="Q84" s="3">
        <f t="shared" si="111"/>
        <v>579.56176024512138</v>
      </c>
      <c r="R84" s="3">
        <f t="shared" si="111"/>
        <v>468.23604768336656</v>
      </c>
      <c r="S84" s="3">
        <f t="shared" si="111"/>
        <v>381.31680911985893</v>
      </c>
      <c r="T84" s="3">
        <f t="shared" si="111"/>
        <v>314.49778843760942</v>
      </c>
      <c r="U84" s="3">
        <f t="shared" si="111"/>
        <v>267.96910650951804</v>
      </c>
      <c r="V84" s="3">
        <f t="shared" si="111"/>
        <v>235.94093266843643</v>
      </c>
      <c r="W84" s="3">
        <f t="shared" si="111"/>
        <v>214.27991421091897</v>
      </c>
      <c r="X84" s="3">
        <f t="shared" si="111"/>
        <v>200.03542543713576</v>
      </c>
      <c r="Y84" s="3">
        <f t="shared" si="111"/>
        <v>191.1013098098222</v>
      </c>
      <c r="Z84" s="3">
        <f t="shared" si="111"/>
        <v>185.97436419750747</v>
      </c>
      <c r="AA84" s="3">
        <f t="shared" si="111"/>
        <v>183.58189696344971</v>
      </c>
    </row>
    <row r="85" spans="2:27" x14ac:dyDescent="0.35">
      <c r="B85" t="s">
        <v>51</v>
      </c>
      <c r="G85" s="5">
        <v>1.4774000000000001E-2</v>
      </c>
      <c r="H85" s="5">
        <v>3.3500000000000001E-3</v>
      </c>
      <c r="I85" s="5">
        <v>1.4E-2</v>
      </c>
      <c r="J85" s="5">
        <v>6.4000000000000001E-2</v>
      </c>
      <c r="K85" s="5">
        <v>2.27</v>
      </c>
      <c r="L85" s="44">
        <f>1.267*4</f>
        <v>5.0679999999999996</v>
      </c>
      <c r="M85" s="5">
        <v>7</v>
      </c>
      <c r="N85" s="5">
        <v>10</v>
      </c>
      <c r="O85" s="3">
        <f>+N85*(1.02)</f>
        <v>10.199999999999999</v>
      </c>
      <c r="P85" s="3">
        <f t="shared" ref="P85:AA85" si="112">+O85*(1.02)</f>
        <v>10.404</v>
      </c>
      <c r="Q85" s="3">
        <f t="shared" si="112"/>
        <v>10.612080000000001</v>
      </c>
      <c r="R85" s="3">
        <f t="shared" si="112"/>
        <v>10.824321600000001</v>
      </c>
      <c r="S85" s="3">
        <f t="shared" si="112"/>
        <v>11.040808032000001</v>
      </c>
      <c r="T85" s="3">
        <f t="shared" si="112"/>
        <v>11.261624192640001</v>
      </c>
      <c r="U85" s="3">
        <f t="shared" si="112"/>
        <v>11.486856676492801</v>
      </c>
      <c r="V85" s="3">
        <f t="shared" si="112"/>
        <v>11.716593810022657</v>
      </c>
      <c r="W85" s="3">
        <f t="shared" si="112"/>
        <v>11.95092568622311</v>
      </c>
      <c r="X85" s="3">
        <f t="shared" si="112"/>
        <v>12.189944199947572</v>
      </c>
      <c r="Y85" s="3">
        <f t="shared" si="112"/>
        <v>12.433743083946524</v>
      </c>
      <c r="Z85" s="3">
        <f t="shared" si="112"/>
        <v>12.682417945625454</v>
      </c>
      <c r="AA85" s="3">
        <f t="shared" si="112"/>
        <v>12.936066304537963</v>
      </c>
    </row>
    <row r="86" spans="2:27" x14ac:dyDescent="0.35">
      <c r="B86" t="s">
        <v>52</v>
      </c>
      <c r="G86" s="5">
        <v>-2.2279999999999999E-3</v>
      </c>
      <c r="H86" s="5">
        <v>-2.9284000000000001E-2</v>
      </c>
      <c r="I86" s="5">
        <v>-0.221</v>
      </c>
      <c r="J86" s="5">
        <v>-19.181999999999999</v>
      </c>
      <c r="K86" s="5">
        <v>-32.046999999999997</v>
      </c>
      <c r="L86" s="44">
        <f>-7.921*4</f>
        <v>-31.684000000000001</v>
      </c>
      <c r="M86" s="5">
        <v>-35</v>
      </c>
      <c r="N86" s="3">
        <f>+M86</f>
        <v>-35</v>
      </c>
      <c r="O86" s="3">
        <f t="shared" ref="O86:AA86" si="113">+N86</f>
        <v>-35</v>
      </c>
      <c r="P86" s="3">
        <f t="shared" si="113"/>
        <v>-35</v>
      </c>
      <c r="Q86" s="3">
        <f t="shared" si="113"/>
        <v>-35</v>
      </c>
      <c r="R86" s="3">
        <f t="shared" si="113"/>
        <v>-35</v>
      </c>
      <c r="S86" s="3">
        <f t="shared" si="113"/>
        <v>-35</v>
      </c>
      <c r="T86" s="3">
        <f t="shared" si="113"/>
        <v>-35</v>
      </c>
      <c r="U86" s="3">
        <f t="shared" si="113"/>
        <v>-35</v>
      </c>
      <c r="V86" s="3">
        <f t="shared" si="113"/>
        <v>-35</v>
      </c>
      <c r="W86" s="3">
        <f t="shared" si="113"/>
        <v>-35</v>
      </c>
      <c r="X86" s="3">
        <f t="shared" si="113"/>
        <v>-35</v>
      </c>
      <c r="Y86" s="3">
        <f t="shared" si="113"/>
        <v>-35</v>
      </c>
      <c r="Z86" s="3">
        <f t="shared" si="113"/>
        <v>-35</v>
      </c>
      <c r="AA86" s="3">
        <f t="shared" si="113"/>
        <v>-35</v>
      </c>
    </row>
    <row r="87" spans="2:27" x14ac:dyDescent="0.35">
      <c r="B87" t="s">
        <v>53</v>
      </c>
      <c r="G87" s="2"/>
      <c r="H87" s="2"/>
      <c r="I87" s="2"/>
      <c r="J87" s="2"/>
      <c r="K87" s="2"/>
      <c r="L87" s="45"/>
      <c r="M87" s="3">
        <f t="shared" ref="M87:AA87" si="114">-0.05*M54</f>
        <v>-2.3752882939438833</v>
      </c>
      <c r="N87" s="3">
        <f t="shared" si="114"/>
        <v>-16.135753410983764</v>
      </c>
      <c r="O87" s="3">
        <f t="shared" si="114"/>
        <v>-30.565082264905882</v>
      </c>
      <c r="P87" s="3">
        <f t="shared" si="114"/>
        <v>-43.043946615870105</v>
      </c>
      <c r="Q87" s="3">
        <f t="shared" si="114"/>
        <v>-67.410762695209584</v>
      </c>
      <c r="R87" s="3">
        <f t="shared" si="114"/>
        <v>-52.531308488244008</v>
      </c>
      <c r="S87" s="3">
        <f t="shared" si="114"/>
        <v>-42.034749034684744</v>
      </c>
      <c r="T87" s="3">
        <f t="shared" si="114"/>
        <v>-34.668903370538033</v>
      </c>
      <c r="U87" s="3">
        <f t="shared" si="114"/>
        <v>-29.53977866114915</v>
      </c>
      <c r="V87" s="3">
        <f t="shared" si="114"/>
        <v>-26.009128510801492</v>
      </c>
      <c r="W87" s="3">
        <f t="shared" si="114"/>
        <v>-23.621309634421412</v>
      </c>
      <c r="X87" s="3">
        <f t="shared" si="114"/>
        <v>-22.05105755947249</v>
      </c>
      <c r="Y87" s="3">
        <f t="shared" si="114"/>
        <v>-21.066198515078941</v>
      </c>
      <c r="Z87" s="3">
        <f t="shared" si="114"/>
        <v>-20.501025758531544</v>
      </c>
      <c r="AA87" s="3">
        <f t="shared" si="114"/>
        <v>-20.237290309812547</v>
      </c>
    </row>
    <row r="88" spans="2:27" x14ac:dyDescent="0.35">
      <c r="G88" s="2"/>
      <c r="H88" s="2"/>
      <c r="I88" s="2"/>
      <c r="J88" s="2"/>
      <c r="K88" s="2"/>
      <c r="L88" s="4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x14ac:dyDescent="0.35">
      <c r="B89" t="s">
        <v>54</v>
      </c>
      <c r="G89" s="2"/>
      <c r="H89" s="2"/>
      <c r="I89" s="2"/>
      <c r="J89" s="2"/>
      <c r="K89" s="2"/>
      <c r="L89" s="45"/>
      <c r="M89" s="2">
        <f>SUM(M84:M87)</f>
        <v>-197.59630983751831</v>
      </c>
      <c r="N89" s="2">
        <f t="shared" ref="N89:AA89" si="115">SUM(N84:N87)</f>
        <v>-24.624320685503388</v>
      </c>
      <c r="O89" s="2">
        <f t="shared" si="115"/>
        <v>137.41401058280826</v>
      </c>
      <c r="P89" s="2">
        <f t="shared" si="115"/>
        <v>295.6279900862682</v>
      </c>
      <c r="Q89" s="2">
        <f t="shared" si="115"/>
        <v>487.76307754991177</v>
      </c>
      <c r="R89" s="2">
        <f t="shared" si="115"/>
        <v>391.52906079512258</v>
      </c>
      <c r="S89" s="2">
        <f t="shared" si="115"/>
        <v>315.32286811717415</v>
      </c>
      <c r="T89" s="2">
        <f t="shared" si="115"/>
        <v>256.09050925971138</v>
      </c>
      <c r="U89" s="2">
        <f t="shared" si="115"/>
        <v>214.91618452486168</v>
      </c>
      <c r="V89" s="2">
        <f t="shared" si="115"/>
        <v>186.64839796765759</v>
      </c>
      <c r="W89" s="2">
        <f t="shared" si="115"/>
        <v>167.60953026272068</v>
      </c>
      <c r="X89" s="2">
        <f t="shared" si="115"/>
        <v>155.17431207761084</v>
      </c>
      <c r="Y89" s="2">
        <f t="shared" si="115"/>
        <v>147.46885437868977</v>
      </c>
      <c r="Z89" s="2">
        <f t="shared" si="115"/>
        <v>143.15575638460137</v>
      </c>
      <c r="AA89" s="2">
        <f t="shared" si="115"/>
        <v>141.28067295817513</v>
      </c>
    </row>
    <row r="90" spans="2:27" x14ac:dyDescent="0.35">
      <c r="G90" s="2"/>
      <c r="H90" s="2"/>
      <c r="I90" s="2"/>
      <c r="J90" s="2"/>
      <c r="K90" s="2"/>
      <c r="L90" s="4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x14ac:dyDescent="0.35">
      <c r="B91" t="s">
        <v>55</v>
      </c>
      <c r="F91" s="16">
        <v>0.125</v>
      </c>
      <c r="G91" s="2"/>
      <c r="H91" s="2"/>
      <c r="I91" s="2"/>
      <c r="J91" s="2"/>
      <c r="K91" s="2"/>
      <c r="L91" s="4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x14ac:dyDescent="0.35">
      <c r="B92" t="s">
        <v>56</v>
      </c>
      <c r="G92" s="2"/>
      <c r="H92" s="2"/>
      <c r="I92" s="2"/>
      <c r="J92" s="2"/>
      <c r="K92" s="2"/>
      <c r="L92" s="45"/>
      <c r="M92" s="3">
        <f t="shared" ref="M92:AA92" si="116">1/(1+$F$91)^(M8-$L8)</f>
        <v>0.88888888888888884</v>
      </c>
      <c r="N92" s="3">
        <f t="shared" si="116"/>
        <v>0.79012345679012341</v>
      </c>
      <c r="O92" s="3">
        <f t="shared" si="116"/>
        <v>0.7023319615912208</v>
      </c>
      <c r="P92" s="3">
        <f t="shared" si="116"/>
        <v>0.62429507696997411</v>
      </c>
      <c r="Q92" s="3">
        <f t="shared" si="116"/>
        <v>0.5549289573066436</v>
      </c>
      <c r="R92" s="3">
        <f t="shared" si="116"/>
        <v>0.49327018427257213</v>
      </c>
      <c r="S92" s="3">
        <f t="shared" si="116"/>
        <v>0.4384623860200641</v>
      </c>
      <c r="T92" s="3">
        <f t="shared" si="116"/>
        <v>0.38974434312894585</v>
      </c>
      <c r="U92" s="3">
        <f t="shared" si="116"/>
        <v>0.34643941611461854</v>
      </c>
      <c r="V92" s="3">
        <f t="shared" si="116"/>
        <v>0.30794614765743872</v>
      </c>
      <c r="W92" s="3">
        <f t="shared" si="116"/>
        <v>0.27372990902883443</v>
      </c>
      <c r="X92" s="3">
        <f t="shared" si="116"/>
        <v>0.24331547469229725</v>
      </c>
      <c r="Y92" s="3">
        <f t="shared" si="116"/>
        <v>0.21628042194870867</v>
      </c>
      <c r="Z92" s="3">
        <f t="shared" si="116"/>
        <v>0.1922492639544077</v>
      </c>
      <c r="AA92" s="3">
        <f t="shared" si="116"/>
        <v>0.1708882346261402</v>
      </c>
    </row>
    <row r="93" spans="2:27" x14ac:dyDescent="0.35">
      <c r="B93" t="s">
        <v>57</v>
      </c>
      <c r="G93" s="2"/>
      <c r="H93" s="2"/>
      <c r="I93" s="2"/>
      <c r="J93" s="2"/>
      <c r="K93" s="2"/>
      <c r="L93" s="45"/>
      <c r="M93" s="3">
        <f>+M92*M89</f>
        <v>-175.64116430001627</v>
      </c>
      <c r="N93" s="3">
        <f t="shared" ref="N93:AA93" si="117">+N92*N89</f>
        <v>-19.456253381138477</v>
      </c>
      <c r="O93" s="3">
        <f t="shared" si="117"/>
        <v>96.510251602740496</v>
      </c>
      <c r="P93" s="3">
        <f t="shared" si="117"/>
        <v>184.55909882538555</v>
      </c>
      <c r="Q93" s="3">
        <f t="shared" si="117"/>
        <v>270.67385603745208</v>
      </c>
      <c r="R93" s="3">
        <f t="shared" si="117"/>
        <v>193.1296119664772</v>
      </c>
      <c r="S93" s="3">
        <f t="shared" si="117"/>
        <v>138.25721712134617</v>
      </c>
      <c r="T93" s="3">
        <f t="shared" si="117"/>
        <v>99.80982731298343</v>
      </c>
      <c r="U93" s="3">
        <f t="shared" si="117"/>
        <v>74.455437480374698</v>
      </c>
      <c r="V93" s="3">
        <f t="shared" si="117"/>
        <v>57.47765512057267</v>
      </c>
      <c r="W93" s="3">
        <f t="shared" si="117"/>
        <v>45.879741471180203</v>
      </c>
      <c r="X93" s="3">
        <f t="shared" si="117"/>
        <v>37.756311403214553</v>
      </c>
      <c r="Y93" s="3">
        <f t="shared" si="117"/>
        <v>31.894626049315697</v>
      </c>
      <c r="Z93" s="3">
        <f t="shared" si="117"/>
        <v>27.521588795776115</v>
      </c>
      <c r="AA93" s="3">
        <f t="shared" si="117"/>
        <v>24.143204788615613</v>
      </c>
    </row>
    <row r="94" spans="2:27" x14ac:dyDescent="0.35">
      <c r="G94" s="2"/>
      <c r="H94" s="2"/>
      <c r="I94" s="2"/>
      <c r="J94" s="2"/>
      <c r="K94" s="2"/>
      <c r="L94" s="48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x14ac:dyDescent="0.35">
      <c r="B95" t="s">
        <v>58</v>
      </c>
      <c r="F95" s="2">
        <f>SUM(M93:AA93)</f>
        <v>1086.9710102942795</v>
      </c>
      <c r="G95" s="2"/>
      <c r="H95" s="2"/>
      <c r="I95" s="2"/>
      <c r="J95" s="2"/>
      <c r="K95" s="2"/>
      <c r="L95" s="48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x14ac:dyDescent="0.35">
      <c r="B96" t="s">
        <v>60</v>
      </c>
      <c r="F96" s="16">
        <v>0.02</v>
      </c>
      <c r="G96" s="2"/>
      <c r="H96" s="2"/>
      <c r="I96" s="2"/>
      <c r="J96" s="2"/>
      <c r="K96" s="2"/>
      <c r="L96" s="48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8" x14ac:dyDescent="0.35">
      <c r="B97" t="s">
        <v>59</v>
      </c>
      <c r="F97" s="2">
        <f>+AA89*(1+F96)/(F91-F96)</f>
        <v>1372.4408230222728</v>
      </c>
      <c r="G97" s="2"/>
      <c r="H97" s="2"/>
      <c r="I97" s="2"/>
      <c r="J97" s="2"/>
      <c r="K97" s="2"/>
      <c r="L97" s="48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8" x14ac:dyDescent="0.35">
      <c r="B98" s="10" t="s">
        <v>61</v>
      </c>
      <c r="C98" s="10"/>
      <c r="D98" s="10"/>
      <c r="E98" s="10"/>
      <c r="F98" s="33">
        <f>+F97+F95</f>
        <v>2459.4118333165525</v>
      </c>
      <c r="G98" s="2"/>
      <c r="H98" s="2"/>
      <c r="I98" s="2"/>
      <c r="J98" s="2"/>
      <c r="K98" s="2"/>
      <c r="L98" s="48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8" x14ac:dyDescent="0.35">
      <c r="A99" t="s">
        <v>62</v>
      </c>
      <c r="G99" s="2"/>
      <c r="H99" s="2"/>
      <c r="I99" s="2"/>
      <c r="J99" s="2"/>
      <c r="K99" s="2"/>
      <c r="L99" s="48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t="s">
        <v>62</v>
      </c>
    </row>
    <row r="100" spans="1:28" x14ac:dyDescent="0.35">
      <c r="B100" s="10" t="s">
        <v>66</v>
      </c>
      <c r="G100" s="2"/>
      <c r="H100" s="2"/>
      <c r="I100" s="2"/>
      <c r="J100" s="2"/>
      <c r="K100" s="2"/>
      <c r="L100" s="48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8" x14ac:dyDescent="0.35">
      <c r="B101" s="51" t="s">
        <v>67</v>
      </c>
      <c r="C101" s="51"/>
      <c r="D101" s="51"/>
      <c r="E101" s="51"/>
      <c r="F101" s="51"/>
      <c r="G101" s="52"/>
      <c r="H101" s="52"/>
      <c r="I101" s="52"/>
      <c r="J101" s="52"/>
      <c r="K101" s="52"/>
      <c r="L101" s="52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</row>
    <row r="102" spans="1:28" x14ac:dyDescent="0.35">
      <c r="G102" s="2"/>
      <c r="H102" s="2"/>
      <c r="I102" s="2"/>
      <c r="J102" s="2"/>
      <c r="K102" s="2"/>
      <c r="L102" s="48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8" x14ac:dyDescent="0.35">
      <c r="B103" s="76" t="s">
        <v>68</v>
      </c>
      <c r="G103" s="2"/>
      <c r="H103" s="2"/>
      <c r="I103" s="2"/>
      <c r="J103" s="2"/>
      <c r="K103" s="2"/>
      <c r="L103" s="48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8" x14ac:dyDescent="0.35">
      <c r="G104" s="2"/>
      <c r="H104" s="2"/>
      <c r="I104" s="2"/>
      <c r="J104" s="2"/>
      <c r="K104" s="2"/>
      <c r="L104" s="48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8" x14ac:dyDescent="0.35">
      <c r="B105" s="68" t="s">
        <v>71</v>
      </c>
      <c r="C105" s="69"/>
      <c r="D105" s="69"/>
      <c r="E105" s="69"/>
      <c r="F105" s="54"/>
      <c r="G105" s="54"/>
      <c r="H105" s="2"/>
      <c r="I105" s="2"/>
      <c r="J105" s="2"/>
      <c r="K105" s="48"/>
      <c r="L105" s="3"/>
      <c r="M105" s="3"/>
    </row>
    <row r="106" spans="1:28" x14ac:dyDescent="0.35">
      <c r="B106" s="70"/>
      <c r="C106" s="70"/>
      <c r="D106" s="71" t="s">
        <v>13</v>
      </c>
      <c r="E106" s="71"/>
      <c r="F106" s="72"/>
      <c r="G106" s="72"/>
      <c r="H106" s="2"/>
      <c r="I106" s="2"/>
      <c r="J106" s="2"/>
      <c r="K106" s="48"/>
      <c r="L106" s="3"/>
      <c r="M106" s="3"/>
    </row>
    <row r="107" spans="1:28" x14ac:dyDescent="0.35">
      <c r="B107" s="8"/>
      <c r="C107" s="56">
        <f>+F98</f>
        <v>2459.4118333165525</v>
      </c>
      <c r="D107" s="84">
        <f>1/12000</f>
        <v>8.3333333333333331E-5</v>
      </c>
      <c r="E107" s="84">
        <f>1/10000</f>
        <v>1E-4</v>
      </c>
      <c r="F107" s="84">
        <f>1/8000</f>
        <v>1.25E-4</v>
      </c>
      <c r="G107" s="85">
        <f>1/6000</f>
        <v>1.6666666666666666E-4</v>
      </c>
      <c r="H107" s="19"/>
      <c r="I107" s="2"/>
      <c r="J107" s="2"/>
      <c r="K107" s="48"/>
      <c r="L107" s="3"/>
      <c r="M107" s="3"/>
    </row>
    <row r="108" spans="1:28" x14ac:dyDescent="0.35">
      <c r="B108" s="114" t="s">
        <v>70</v>
      </c>
      <c r="C108" s="83">
        <v>0.4</v>
      </c>
      <c r="D108" s="57">
        <f t="dataTable" ref="D108:G114" dt2D="1" dtr="1" r1="G18" r2="G20"/>
        <v>269.86925289206533</v>
      </c>
      <c r="E108" s="58">
        <v>508.57964876444271</v>
      </c>
      <c r="F108" s="58">
        <v>881.62595160591775</v>
      </c>
      <c r="G108" s="59">
        <v>1533.0668804144741</v>
      </c>
      <c r="H108" s="2"/>
      <c r="I108" s="2" t="s">
        <v>69</v>
      </c>
      <c r="J108" s="15">
        <v>0.05</v>
      </c>
      <c r="K108" s="48"/>
      <c r="L108" s="3"/>
      <c r="M108" s="3"/>
    </row>
    <row r="109" spans="1:28" x14ac:dyDescent="0.35">
      <c r="B109" s="115"/>
      <c r="C109" s="86">
        <f t="shared" ref="C109:C114" si="118">+C108+$J$108</f>
        <v>0.45</v>
      </c>
      <c r="D109" s="60">
        <v>370.82958893919039</v>
      </c>
      <c r="E109" s="61">
        <v>634.20460219538631</v>
      </c>
      <c r="F109" s="61">
        <v>1045.2681072922833</v>
      </c>
      <c r="G109" s="62">
        <v>1761.6623536792404</v>
      </c>
      <c r="H109" s="2"/>
      <c r="I109" s="2"/>
      <c r="J109" s="2"/>
      <c r="K109" s="48"/>
      <c r="L109" s="3"/>
      <c r="M109" s="3"/>
    </row>
    <row r="110" spans="1:28" x14ac:dyDescent="0.35">
      <c r="B110" s="115"/>
      <c r="C110" s="86">
        <f t="shared" si="118"/>
        <v>0.5</v>
      </c>
      <c r="D110" s="60">
        <v>473.41396662413553</v>
      </c>
      <c r="E110" s="61">
        <v>761.7570977674834</v>
      </c>
      <c r="F110" s="61">
        <v>1211.2155754093696</v>
      </c>
      <c r="G110" s="62">
        <v>1993.0157894844424</v>
      </c>
      <c r="H110" s="2"/>
      <c r="I110" s="2"/>
      <c r="J110" s="2"/>
      <c r="K110" s="48"/>
      <c r="L110" s="3"/>
      <c r="M110" s="3"/>
    </row>
    <row r="111" spans="1:28" x14ac:dyDescent="0.35">
      <c r="B111" s="115"/>
      <c r="C111" s="86">
        <f t="shared" si="118"/>
        <v>0.55000000000000004</v>
      </c>
      <c r="D111" s="60">
        <v>577.50768297347247</v>
      </c>
      <c r="E111" s="61">
        <v>891.08462829451605</v>
      </c>
      <c r="F111" s="61">
        <v>1379.2608372141435</v>
      </c>
      <c r="G111" s="62">
        <v>2225.218341002023</v>
      </c>
      <c r="H111" s="2"/>
      <c r="I111" s="2"/>
      <c r="J111" s="2"/>
      <c r="K111" s="48"/>
      <c r="L111" s="3"/>
      <c r="M111" s="3"/>
    </row>
    <row r="112" spans="1:28" x14ac:dyDescent="0.35">
      <c r="B112" s="115"/>
      <c r="C112" s="87">
        <f t="shared" si="118"/>
        <v>0.60000000000000009</v>
      </c>
      <c r="D112" s="63">
        <v>683.00631569551661</v>
      </c>
      <c r="E112" s="64">
        <v>1022.0499161298634</v>
      </c>
      <c r="F112" s="64">
        <v>1549.2197736724247</v>
      </c>
      <c r="G112" s="73">
        <v>2459.4118333165534</v>
      </c>
      <c r="H112" s="2"/>
      <c r="I112" s="2"/>
      <c r="J112" s="2"/>
      <c r="K112" s="48"/>
      <c r="L112" s="3"/>
      <c r="M112" s="3"/>
    </row>
    <row r="113" spans="2:13" x14ac:dyDescent="0.35">
      <c r="B113" s="115"/>
      <c r="C113" s="86">
        <f t="shared" si="118"/>
        <v>0.65000000000000013</v>
      </c>
      <c r="D113" s="60">
        <v>789.81460144672121</v>
      </c>
      <c r="E113" s="61">
        <v>1154.5290674655876</v>
      </c>
      <c r="F113" s="61">
        <v>1720.9284762822713</v>
      </c>
      <c r="G113" s="62">
        <v>2695.6277133292419</v>
      </c>
      <c r="H113" s="2"/>
      <c r="I113" s="2"/>
      <c r="J113" s="2"/>
      <c r="K113" s="48"/>
      <c r="L113" s="3"/>
      <c r="M113" s="3"/>
    </row>
    <row r="114" spans="2:13" x14ac:dyDescent="0.35">
      <c r="B114" s="115"/>
      <c r="C114" s="86">
        <f t="shared" si="118"/>
        <v>0.70000000000000018</v>
      </c>
      <c r="D114" s="65">
        <v>897.84545772825822</v>
      </c>
      <c r="E114" s="66">
        <v>1288.4099884746902</v>
      </c>
      <c r="F114" s="66">
        <v>1892.9149656555032</v>
      </c>
      <c r="G114" s="67">
        <v>2933.6727282002976</v>
      </c>
      <c r="H114" s="2"/>
      <c r="I114" s="2"/>
      <c r="J114" s="2"/>
      <c r="K114" s="48"/>
      <c r="L114" s="3"/>
      <c r="M114" s="3"/>
    </row>
    <row r="115" spans="2:13" x14ac:dyDescent="0.35">
      <c r="F115" s="2"/>
      <c r="G115" s="2"/>
      <c r="H115" s="2"/>
      <c r="I115" s="2"/>
      <c r="J115" s="2"/>
      <c r="K115" s="48"/>
      <c r="L115" s="3"/>
      <c r="M115" s="3"/>
    </row>
    <row r="116" spans="2:13" x14ac:dyDescent="0.35">
      <c r="F116" s="2"/>
      <c r="G116" s="2"/>
      <c r="H116" s="2"/>
      <c r="I116" s="2"/>
      <c r="J116" s="2"/>
      <c r="K116" s="48"/>
      <c r="L116" s="3"/>
      <c r="M116" s="3"/>
    </row>
    <row r="117" spans="2:13" x14ac:dyDescent="0.35">
      <c r="B117" s="76" t="s">
        <v>72</v>
      </c>
      <c r="F117" s="2"/>
      <c r="G117" s="2"/>
      <c r="H117" s="2"/>
      <c r="I117" s="2"/>
      <c r="J117" s="2"/>
      <c r="K117" s="48"/>
      <c r="L117" s="3"/>
      <c r="M117" s="3"/>
    </row>
    <row r="118" spans="2:13" x14ac:dyDescent="0.35">
      <c r="F118" s="2"/>
      <c r="G118" s="2"/>
      <c r="H118" s="2"/>
      <c r="I118" s="2"/>
      <c r="J118" s="2"/>
      <c r="K118" s="48"/>
      <c r="L118" s="3"/>
      <c r="M118" s="3"/>
    </row>
    <row r="119" spans="2:13" x14ac:dyDescent="0.35">
      <c r="B119" s="68" t="s">
        <v>73</v>
      </c>
      <c r="C119" s="69"/>
      <c r="D119" s="69"/>
      <c r="E119" s="69"/>
      <c r="F119" s="54"/>
      <c r="G119" s="54"/>
      <c r="H119" s="2"/>
      <c r="I119" s="2"/>
      <c r="J119" s="2"/>
      <c r="K119" s="48"/>
      <c r="L119" s="3"/>
      <c r="M119" s="3"/>
    </row>
    <row r="120" spans="2:13" x14ac:dyDescent="0.35">
      <c r="B120" s="70"/>
      <c r="C120" s="70"/>
      <c r="D120" s="71" t="s">
        <v>74</v>
      </c>
      <c r="E120" s="71"/>
      <c r="F120" s="72"/>
      <c r="G120" s="72"/>
      <c r="H120" s="72"/>
      <c r="I120" s="72"/>
      <c r="J120" s="2"/>
      <c r="K120" s="48"/>
      <c r="L120" s="3"/>
      <c r="M120" s="3"/>
    </row>
    <row r="121" spans="2:13" x14ac:dyDescent="0.35">
      <c r="B121" s="8"/>
      <c r="C121" s="56">
        <f>+F98</f>
        <v>2459.4118333165525</v>
      </c>
      <c r="D121" s="88">
        <f>+E121-$L$121</f>
        <v>0.50000000000000011</v>
      </c>
      <c r="E121" s="88">
        <f>+F121-$L$121</f>
        <v>0.60000000000000009</v>
      </c>
      <c r="F121" s="88">
        <f>+G121-$L$121</f>
        <v>0.70000000000000007</v>
      </c>
      <c r="G121" s="88">
        <f>+H121-$L$121</f>
        <v>0.8</v>
      </c>
      <c r="H121" s="96">
        <v>0.9</v>
      </c>
      <c r="I121" s="88">
        <f>+H121+L121</f>
        <v>1</v>
      </c>
      <c r="J121" s="2"/>
      <c r="K121" s="2" t="s">
        <v>69</v>
      </c>
      <c r="L121" s="15">
        <v>0.1</v>
      </c>
      <c r="M121" s="3"/>
    </row>
    <row r="122" spans="2:13" ht="15" customHeight="1" x14ac:dyDescent="0.35">
      <c r="B122" s="114" t="s">
        <v>75</v>
      </c>
      <c r="C122" s="89">
        <f>+C123-$L$122</f>
        <v>0.5</v>
      </c>
      <c r="D122" s="57">
        <f t="dataTable" ref="D122:I128" dt2D="1" dtr="1" r1="P24" r2="M46" ca="1"/>
        <v>-939.21383858720333</v>
      </c>
      <c r="E122" s="58">
        <v>-679.36668255136874</v>
      </c>
      <c r="F122" s="58">
        <v>-482.72621721533676</v>
      </c>
      <c r="G122" s="58">
        <v>-308.24811569386651</v>
      </c>
      <c r="H122" s="93">
        <v>-146.24265080925778</v>
      </c>
      <c r="I122" s="78">
        <v>8.928668373308426</v>
      </c>
      <c r="J122" s="2"/>
      <c r="K122" s="2" t="s">
        <v>69</v>
      </c>
      <c r="L122" s="82">
        <v>0.25</v>
      </c>
      <c r="M122" s="3"/>
    </row>
    <row r="123" spans="2:13" x14ac:dyDescent="0.35">
      <c r="B123" s="115"/>
      <c r="C123" s="89">
        <f>+C124-$L$122</f>
        <v>0.75</v>
      </c>
      <c r="D123" s="60">
        <v>-254.68268301971412</v>
      </c>
      <c r="E123" s="61">
        <v>32.635415841268809</v>
      </c>
      <c r="F123" s="61">
        <v>279.2126298870192</v>
      </c>
      <c r="G123" s="61">
        <v>506.55846963495566</v>
      </c>
      <c r="H123" s="64">
        <v>725.07642844790678</v>
      </c>
      <c r="I123" s="79">
        <v>940.20908755104313</v>
      </c>
      <c r="J123" s="2"/>
      <c r="K123" s="48"/>
      <c r="L123" s="3"/>
      <c r="M123" s="3"/>
    </row>
    <row r="124" spans="2:13" x14ac:dyDescent="0.35">
      <c r="B124" s="115"/>
      <c r="C124" s="89">
        <f>+C125-$L$122</f>
        <v>1</v>
      </c>
      <c r="D124" s="60">
        <v>400.25801298871943</v>
      </c>
      <c r="E124" s="61">
        <v>735.40977704673526</v>
      </c>
      <c r="F124" s="61">
        <v>1034.0906816730953</v>
      </c>
      <c r="G124" s="61">
        <v>1316.6310091763385</v>
      </c>
      <c r="H124" s="64">
        <v>1593.9781022514319</v>
      </c>
      <c r="I124" s="79">
        <v>1871.3786324138969</v>
      </c>
      <c r="J124" s="2"/>
      <c r="K124" s="48"/>
      <c r="L124" s="3"/>
      <c r="M124" s="3"/>
    </row>
    <row r="125" spans="2:13" x14ac:dyDescent="0.35">
      <c r="B125" s="115"/>
      <c r="C125" s="92">
        <v>1.25</v>
      </c>
      <c r="D125" s="63">
        <v>1051.5932986922794</v>
      </c>
      <c r="E125" s="64">
        <v>1438.0991798257073</v>
      </c>
      <c r="F125" s="64">
        <v>1788.5238127462917</v>
      </c>
      <c r="G125" s="64">
        <v>2124.7471169920791</v>
      </c>
      <c r="H125" s="95">
        <v>2459.4118333165525</v>
      </c>
      <c r="I125" s="62">
        <v>2797.5687235255855</v>
      </c>
      <c r="J125" s="2"/>
      <c r="K125" s="48"/>
      <c r="L125" s="3"/>
      <c r="M125" s="3"/>
    </row>
    <row r="126" spans="2:13" x14ac:dyDescent="0.35">
      <c r="B126" s="115"/>
      <c r="C126" s="89">
        <f>+C125+$L$122</f>
        <v>1.5</v>
      </c>
      <c r="D126" s="60">
        <v>1699.2193430080474</v>
      </c>
      <c r="E126" s="61">
        <v>2135.2655280015742</v>
      </c>
      <c r="F126" s="61">
        <v>2536.5099174268294</v>
      </c>
      <c r="G126" s="61">
        <v>2927.6254072253705</v>
      </c>
      <c r="H126" s="64">
        <v>3320.8169556094344</v>
      </c>
      <c r="I126" s="81">
        <v>3720.9394146752447</v>
      </c>
      <c r="J126" s="2"/>
      <c r="K126" s="48"/>
      <c r="L126" s="3"/>
      <c r="M126" s="3"/>
    </row>
    <row r="127" spans="2:13" x14ac:dyDescent="0.35">
      <c r="B127" s="115"/>
      <c r="C127" s="89">
        <f>+C126+$L$122</f>
        <v>1.75</v>
      </c>
      <c r="D127" s="60">
        <v>2344.2672860111734</v>
      </c>
      <c r="E127" s="61">
        <v>2831.3652858775604</v>
      </c>
      <c r="F127" s="61">
        <v>3284.4960221073679</v>
      </c>
      <c r="G127" s="61">
        <v>3730.5036974586628</v>
      </c>
      <c r="H127" s="64">
        <v>4182.2220779023173</v>
      </c>
      <c r="I127" s="79">
        <v>4644.3101058249031</v>
      </c>
      <c r="J127" s="2"/>
      <c r="K127" s="48"/>
      <c r="L127" s="3"/>
      <c r="M127" s="3"/>
    </row>
    <row r="128" spans="2:13" x14ac:dyDescent="0.35">
      <c r="B128" s="115"/>
      <c r="C128" s="89">
        <f>+C127+$L$122</f>
        <v>2</v>
      </c>
      <c r="D128" s="65">
        <v>2989.3152290142975</v>
      </c>
      <c r="E128" s="66">
        <v>3527.4650437535452</v>
      </c>
      <c r="F128" s="66">
        <v>4032.4821267879042</v>
      </c>
      <c r="G128" s="66">
        <v>4533.3819876919533</v>
      </c>
      <c r="H128" s="94">
        <v>5043.6272001951975</v>
      </c>
      <c r="I128" s="80">
        <v>5567.6807969745605</v>
      </c>
      <c r="J128" s="2"/>
      <c r="K128" s="48"/>
      <c r="L128" s="3"/>
      <c r="M128" s="3"/>
    </row>
    <row r="129" spans="2:13" x14ac:dyDescent="0.35">
      <c r="F129" s="2"/>
      <c r="G129" s="2"/>
      <c r="H129" s="2"/>
      <c r="I129" s="2"/>
      <c r="J129" s="2"/>
      <c r="K129" s="48"/>
      <c r="L129" s="3"/>
      <c r="M129" s="3"/>
    </row>
    <row r="130" spans="2:13" x14ac:dyDescent="0.35">
      <c r="F130" s="2"/>
      <c r="G130" s="2"/>
      <c r="H130" s="2"/>
      <c r="I130" s="2"/>
      <c r="J130" s="2"/>
      <c r="K130" s="48"/>
      <c r="L130" s="3"/>
      <c r="M130" s="3"/>
    </row>
    <row r="131" spans="2:13" x14ac:dyDescent="0.35">
      <c r="B131" s="76" t="s">
        <v>76</v>
      </c>
      <c r="F131" s="2"/>
      <c r="G131" s="2"/>
      <c r="H131" s="2"/>
      <c r="I131" s="2"/>
      <c r="J131" s="2"/>
      <c r="K131" s="48"/>
      <c r="L131" s="3"/>
      <c r="M131" s="3"/>
    </row>
    <row r="132" spans="2:13" x14ac:dyDescent="0.35">
      <c r="B132" s="11" t="s">
        <v>77</v>
      </c>
      <c r="F132" s="2"/>
      <c r="G132" s="2"/>
      <c r="H132" s="2"/>
      <c r="I132" s="2"/>
      <c r="J132" s="2"/>
      <c r="K132" s="48"/>
      <c r="L132" s="3"/>
      <c r="M132" s="3"/>
    </row>
    <row r="133" spans="2:13" x14ac:dyDescent="0.35">
      <c r="B133" s="11" t="s">
        <v>83</v>
      </c>
      <c r="F133" s="2"/>
      <c r="G133" s="2"/>
      <c r="H133" s="2"/>
      <c r="I133" s="2"/>
      <c r="J133" s="2"/>
      <c r="K133" s="48"/>
      <c r="L133" s="3"/>
      <c r="M133" s="3"/>
    </row>
    <row r="134" spans="2:13" x14ac:dyDescent="0.35">
      <c r="F134" s="2"/>
      <c r="G134" s="2"/>
      <c r="H134" s="2"/>
      <c r="I134" s="2"/>
      <c r="J134" s="2"/>
      <c r="K134" s="48"/>
      <c r="L134" s="3"/>
      <c r="M134" s="3"/>
    </row>
    <row r="135" spans="2:13" x14ac:dyDescent="0.35">
      <c r="B135" s="68" t="s">
        <v>78</v>
      </c>
      <c r="C135" s="69"/>
      <c r="D135" s="69"/>
      <c r="E135" s="69"/>
      <c r="F135" s="54"/>
      <c r="G135" s="54"/>
      <c r="H135" s="2"/>
      <c r="I135" s="2"/>
      <c r="J135" s="2"/>
      <c r="K135" s="48"/>
      <c r="L135" s="3"/>
      <c r="M135" s="3"/>
    </row>
    <row r="136" spans="2:13" x14ac:dyDescent="0.35">
      <c r="B136" s="70"/>
      <c r="C136" s="70"/>
      <c r="D136" s="9" t="s">
        <v>79</v>
      </c>
      <c r="E136" s="9"/>
      <c r="F136" s="77"/>
      <c r="G136" s="77"/>
      <c r="H136" s="77"/>
      <c r="I136" s="77"/>
      <c r="J136" s="2"/>
      <c r="K136" s="48"/>
      <c r="L136" s="3"/>
      <c r="M136" s="3"/>
    </row>
    <row r="137" spans="2:13" x14ac:dyDescent="0.35">
      <c r="B137" s="8"/>
      <c r="C137" s="56">
        <f>+F98</f>
        <v>2459.4118333165525</v>
      </c>
      <c r="D137" s="88">
        <f>+E137-$L$137</f>
        <v>0.40000000000000013</v>
      </c>
      <c r="E137" s="88">
        <f>+F137-$L$137</f>
        <v>0.50000000000000011</v>
      </c>
      <c r="F137" s="88">
        <f>+G137-$L$137</f>
        <v>0.60000000000000009</v>
      </c>
      <c r="G137" s="88">
        <f>+H137-$L$137</f>
        <v>0.70000000000000007</v>
      </c>
      <c r="H137" s="96">
        <v>0.8</v>
      </c>
      <c r="I137" s="88">
        <f>+H137+L137</f>
        <v>0.9</v>
      </c>
      <c r="J137" s="2"/>
      <c r="K137" s="2" t="s">
        <v>69</v>
      </c>
      <c r="L137" s="15">
        <v>0.1</v>
      </c>
      <c r="M137" s="3"/>
    </row>
    <row r="138" spans="2:13" ht="15" customHeight="1" x14ac:dyDescent="0.35">
      <c r="B138" s="114" t="s">
        <v>82</v>
      </c>
      <c r="C138" s="97">
        <v>100</v>
      </c>
      <c r="D138" s="98">
        <f t="dataTable" ref="D138:I144" dt2D="1" dtr="1" r1="M50" r2="M70" ca="1"/>
        <v>290.62559154614496</v>
      </c>
      <c r="E138" s="93">
        <v>833.68913767334789</v>
      </c>
      <c r="F138" s="93">
        <v>1376.752683800551</v>
      </c>
      <c r="G138" s="93">
        <v>1919.8162299277542</v>
      </c>
      <c r="H138" s="104">
        <v>2459.4118333165525</v>
      </c>
      <c r="I138" s="59">
        <v>2997.7900347496034</v>
      </c>
      <c r="J138" s="2"/>
      <c r="K138" s="2" t="s">
        <v>69</v>
      </c>
      <c r="L138" s="82">
        <v>50</v>
      </c>
      <c r="M138" s="3"/>
    </row>
    <row r="139" spans="2:13" x14ac:dyDescent="0.35">
      <c r="B139" s="114"/>
      <c r="C139" s="55">
        <f t="shared" ref="C139:C144" si="119">+C138+$L$138</f>
        <v>150</v>
      </c>
      <c r="D139" s="90">
        <v>246.18114710170053</v>
      </c>
      <c r="E139" s="91">
        <v>789.24469322890343</v>
      </c>
      <c r="F139" s="91">
        <v>1332.3082393561067</v>
      </c>
      <c r="G139" s="91">
        <v>1875.3717854833098</v>
      </c>
      <c r="H139" s="102">
        <v>2414.9673888721081</v>
      </c>
      <c r="I139" s="81">
        <v>2953.345590305159</v>
      </c>
      <c r="J139" s="2"/>
      <c r="K139" s="48"/>
      <c r="L139" s="3"/>
      <c r="M139" s="3"/>
    </row>
    <row r="140" spans="2:13" x14ac:dyDescent="0.35">
      <c r="B140" s="114"/>
      <c r="C140" s="55">
        <f t="shared" si="119"/>
        <v>200</v>
      </c>
      <c r="D140" s="90">
        <v>201.73670265725607</v>
      </c>
      <c r="E140" s="91">
        <v>744.80024878445897</v>
      </c>
      <c r="F140" s="91">
        <v>1287.8637949116621</v>
      </c>
      <c r="G140" s="91">
        <v>1830.9273410388655</v>
      </c>
      <c r="H140" s="102">
        <v>2370.5229444276633</v>
      </c>
      <c r="I140" s="81">
        <v>2908.9011458607147</v>
      </c>
      <c r="J140" s="2"/>
      <c r="K140" s="48"/>
      <c r="L140" s="3"/>
      <c r="M140" s="3"/>
    </row>
    <row r="141" spans="2:13" x14ac:dyDescent="0.35">
      <c r="B141" s="114"/>
      <c r="C141" s="55">
        <f t="shared" si="119"/>
        <v>250</v>
      </c>
      <c r="D141" s="90">
        <v>157.29225821281167</v>
      </c>
      <c r="E141" s="91">
        <v>700.35580434001452</v>
      </c>
      <c r="F141" s="91">
        <v>1243.4193504672176</v>
      </c>
      <c r="G141" s="91">
        <v>1786.4828965944212</v>
      </c>
      <c r="H141" s="102">
        <v>2326.078499983219</v>
      </c>
      <c r="I141" s="81">
        <v>2864.4567014162699</v>
      </c>
      <c r="J141" s="2"/>
      <c r="K141" s="48"/>
      <c r="L141" s="3"/>
      <c r="M141" s="3"/>
    </row>
    <row r="142" spans="2:13" x14ac:dyDescent="0.35">
      <c r="B142" s="114"/>
      <c r="C142" s="55">
        <f t="shared" si="119"/>
        <v>300</v>
      </c>
      <c r="D142" s="90">
        <v>112.84781376836727</v>
      </c>
      <c r="E142" s="91">
        <v>655.91135989557017</v>
      </c>
      <c r="F142" s="91">
        <v>1198.9749060227732</v>
      </c>
      <c r="G142" s="91">
        <v>1742.0384521499768</v>
      </c>
      <c r="H142" s="102">
        <v>2281.6340555387746</v>
      </c>
      <c r="I142" s="81">
        <v>2820.0122569718255</v>
      </c>
      <c r="J142" s="2"/>
      <c r="K142" s="48"/>
      <c r="L142" s="3"/>
      <c r="M142" s="3"/>
    </row>
    <row r="143" spans="2:13" x14ac:dyDescent="0.35">
      <c r="B143" s="114"/>
      <c r="C143" s="55">
        <f t="shared" si="119"/>
        <v>350</v>
      </c>
      <c r="D143" s="90">
        <v>68.403369323922703</v>
      </c>
      <c r="E143" s="91">
        <v>611.4669154511256</v>
      </c>
      <c r="F143" s="91">
        <v>1154.5304615783289</v>
      </c>
      <c r="G143" s="91">
        <v>1697.594007705532</v>
      </c>
      <c r="H143" s="102">
        <v>2237.1896110943303</v>
      </c>
      <c r="I143" s="81">
        <v>2775.5678125273812</v>
      </c>
      <c r="J143" s="2"/>
      <c r="K143" s="48"/>
      <c r="L143" s="3"/>
      <c r="M143" s="3"/>
    </row>
    <row r="144" spans="2:13" x14ac:dyDescent="0.35">
      <c r="B144" s="114"/>
      <c r="C144" s="55">
        <f t="shared" si="119"/>
        <v>400</v>
      </c>
      <c r="D144" s="99">
        <v>23.958924879478275</v>
      </c>
      <c r="E144" s="100">
        <v>567.02247100668114</v>
      </c>
      <c r="F144" s="100">
        <v>1110.0860171338843</v>
      </c>
      <c r="G144" s="100">
        <v>1653.1495632610875</v>
      </c>
      <c r="H144" s="103">
        <v>2192.745166649886</v>
      </c>
      <c r="I144" s="101">
        <v>2731.1233680829364</v>
      </c>
      <c r="J144" s="2"/>
      <c r="K144" s="48"/>
      <c r="L144" s="3"/>
      <c r="M144" s="3"/>
    </row>
    <row r="145" spans="1:28" x14ac:dyDescent="0.35">
      <c r="J145" s="2"/>
      <c r="K145" s="2"/>
      <c r="L145" s="2"/>
      <c r="M145" s="2"/>
      <c r="N145" s="2"/>
      <c r="O145" s="48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8" x14ac:dyDescent="0.35">
      <c r="A146" t="s">
        <v>62</v>
      </c>
      <c r="G146" s="2"/>
      <c r="H146" s="2"/>
      <c r="I146" s="2"/>
      <c r="J146" s="2"/>
      <c r="K146" s="2"/>
      <c r="L146" s="48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t="s">
        <v>62</v>
      </c>
    </row>
    <row r="147" spans="1:28" x14ac:dyDescent="0.35">
      <c r="G147" s="2"/>
      <c r="H147" s="2"/>
      <c r="I147" s="2"/>
      <c r="J147" s="2"/>
      <c r="K147" s="2"/>
      <c r="L147" s="48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8" x14ac:dyDescent="0.35">
      <c r="B148" t="s">
        <v>4</v>
      </c>
    </row>
    <row r="149" spans="1:28" x14ac:dyDescent="0.35">
      <c r="B149" t="s">
        <v>5</v>
      </c>
      <c r="G149" s="1" t="s">
        <v>6</v>
      </c>
    </row>
    <row r="150" spans="1:28" x14ac:dyDescent="0.35">
      <c r="B150" t="s">
        <v>7</v>
      </c>
      <c r="G150" s="1" t="s">
        <v>8</v>
      </c>
    </row>
    <row r="151" spans="1:28" x14ac:dyDescent="0.35">
      <c r="B151" t="s">
        <v>19</v>
      </c>
      <c r="G151" s="1" t="s">
        <v>20</v>
      </c>
    </row>
    <row r="152" spans="1:28" x14ac:dyDescent="0.35">
      <c r="B152" t="s">
        <v>25</v>
      </c>
      <c r="G152" s="1" t="s">
        <v>26</v>
      </c>
    </row>
    <row r="153" spans="1:28" x14ac:dyDescent="0.35">
      <c r="B153" t="s">
        <v>93</v>
      </c>
      <c r="G153" s="1" t="s">
        <v>92</v>
      </c>
    </row>
    <row r="154" spans="1:28" x14ac:dyDescent="0.35">
      <c r="B154" t="s">
        <v>91</v>
      </c>
    </row>
  </sheetData>
  <mergeCells count="3">
    <mergeCell ref="B108:B114"/>
    <mergeCell ref="B122:B128"/>
    <mergeCell ref="B138:B144"/>
  </mergeCells>
  <hyperlinks>
    <hyperlink ref="G150" r:id="rId1" location="cs70204_selected_consolidated_financial_data" display="https://www.sec.gov/Archives/edgar/data/1652923/000104746916010121/a2227319z424b4.htm - cs70204_selected_consolidated_financial_data" xr:uid="{00000000-0004-0000-0000-000000000000}"/>
    <hyperlink ref="G151" r:id="rId2" xr:uid="{00000000-0004-0000-0000-000001000000}"/>
    <hyperlink ref="G152" r:id="rId3" location="par_textimage_500989927" display="https://www.census.gov/data/datasets/time-series/demo/popest/2010s-state-total.html - par_textimage_500989927" xr:uid="{00000000-0004-0000-0000-000002000000}"/>
    <hyperlink ref="B2" r:id="rId4" xr:uid="{00000000-0004-0000-0000-000003000000}"/>
    <hyperlink ref="G149" r:id="rId5" location="Item7ManagementsDiscussionandAnalysis_58" display="https://www.sec.gov/Archives/edgar/data/1652923/000155837018001313/avxs-20171231x10k.htm - Item7ManagementsDiscussionandAnalysis_58" xr:uid="{00000000-0004-0000-0000-000004000000}"/>
    <hyperlink ref="G153" r:id="rId6" xr:uid="{00000000-0004-0000-0000-000005000000}"/>
  </hyperlinks>
  <pageMargins left="0.7" right="0.7" top="0.75" bottom="0.75" header="0.3" footer="0.3"/>
  <pageSetup orientation="portrait" horizontalDpi="1200" verticalDpi="1200"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</dc:creator>
  <cp:lastModifiedBy>Richard Murphey</cp:lastModifiedBy>
  <dcterms:created xsi:type="dcterms:W3CDTF">2019-05-02T18:52:20Z</dcterms:created>
  <dcterms:modified xsi:type="dcterms:W3CDTF">2020-09-09T23:49:01Z</dcterms:modified>
</cp:coreProperties>
</file>